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EGJISLACIONI\TRANSPARENCA-STATISTIKAT\BUXHET\"/>
    </mc:Choice>
  </mc:AlternateContent>
  <bookViews>
    <workbookView xWindow="0" yWindow="0" windowWidth="28800" windowHeight="14130" tabRatio="601" firstSheet="4" activeTab="9"/>
  </bookViews>
  <sheets>
    <sheet name="situac.07" sheetId="1" state="hidden" r:id="rId1"/>
    <sheet name="Plani07" sheetId="3" state="hidden" r:id="rId2"/>
    <sheet name="PLAN BUXHETI 2014" sheetId="14" r:id="rId3"/>
    <sheet name="PLAN BUXHETI 2015" sheetId="15" r:id="rId4"/>
    <sheet name="PLAN BUXHETI 2018" sheetId="16" r:id="rId5"/>
    <sheet name="PLAN BUXHET 2019" sheetId="17" r:id="rId6"/>
    <sheet name="PLAN BUXHETI 2020" sheetId="18" r:id="rId7"/>
    <sheet name="PLAN BUXHET 2021" sheetId="19" r:id="rId8"/>
    <sheet name="PLAN BUXHET 2022" sheetId="20" r:id="rId9"/>
    <sheet name="PLAN BUXHET 2023" sheetId="21" r:id="rId10"/>
    <sheet name="Plan- Buxh 2013" sheetId="6" state="hidden" r:id="rId11"/>
    <sheet name="SITUACIONI   BUXHETOR  2013 (2)" sheetId="13" state="hidden" r:id="rId12"/>
    <sheet name="SITUACIONI   BUXHETOR  2013" sheetId="10" state="hidden" r:id="rId13"/>
    <sheet name="Situac 2012" sheetId="9" state="hidden" r:id="rId14"/>
    <sheet name="pakesimi &amp; shtes Buxh 13" sheetId="11" state="hidden" r:id="rId15"/>
  </sheets>
  <externalReferences>
    <externalReference r:id="rId16"/>
    <externalReference r:id="rId17"/>
  </externalReferences>
  <definedNames>
    <definedName name="_xlnm.Print_Area" localSheetId="10">'Plan- Buxh 2013'!$A$2:$N$21</definedName>
    <definedName name="_xlnm.Print_Area" localSheetId="2">'PLAN BUXHETI 2014'!$R$11:$R$26</definedName>
    <definedName name="_xlnm.Print_Area" localSheetId="12">'SITUACIONI   BUXHETOR  2013'!$A$1118:$M$1236</definedName>
    <definedName name="_xlnm.Print_Area" localSheetId="11">'SITUACIONI   BUXHETOR  2013 (2)'!$A$1:$F$47</definedName>
  </definedNames>
  <calcPr calcId="162913"/>
  <fileRecoveryPr repairLoad="1"/>
</workbook>
</file>

<file path=xl/calcChain.xml><?xml version="1.0" encoding="utf-8"?>
<calcChain xmlns="http://schemas.openxmlformats.org/spreadsheetml/2006/main">
  <c r="D69" i="21" l="1"/>
  <c r="I82" i="20" l="1"/>
  <c r="H82" i="20"/>
  <c r="B53" i="20" l="1"/>
  <c r="B52" i="20"/>
  <c r="B51" i="20"/>
  <c r="B50" i="20"/>
  <c r="B49" i="20"/>
  <c r="B48" i="20"/>
  <c r="B47" i="20"/>
  <c r="B46" i="20"/>
  <c r="B45" i="20"/>
  <c r="B44" i="20"/>
  <c r="B43" i="20"/>
  <c r="B42" i="20"/>
  <c r="B40" i="20"/>
  <c r="B36" i="20"/>
  <c r="B35" i="20"/>
  <c r="B34" i="20"/>
  <c r="B32" i="20"/>
  <c r="B31" i="20"/>
  <c r="B30" i="20"/>
  <c r="B28" i="20"/>
  <c r="B27" i="20"/>
  <c r="B26" i="20"/>
  <c r="B25" i="20"/>
  <c r="B24" i="20"/>
  <c r="B23" i="20"/>
  <c r="B22" i="20"/>
  <c r="B21" i="20"/>
  <c r="B19" i="20"/>
  <c r="B18" i="20"/>
  <c r="B17" i="20"/>
  <c r="B16" i="20"/>
  <c r="B15" i="20"/>
  <c r="B13" i="20"/>
  <c r="B12" i="20"/>
  <c r="B11" i="20"/>
  <c r="B10" i="20"/>
  <c r="B9" i="20"/>
  <c r="B8" i="20"/>
  <c r="B7" i="20"/>
  <c r="B6" i="20"/>
  <c r="B5" i="20"/>
  <c r="T1574" i="18" l="1"/>
  <c r="S1574" i="18"/>
  <c r="R1574" i="18"/>
  <c r="S1534" i="18"/>
  <c r="Q1534" i="18"/>
  <c r="N1534" i="18"/>
  <c r="L1534" i="18"/>
  <c r="S1518" i="18"/>
  <c r="Q1518" i="18"/>
  <c r="S1490" i="18"/>
  <c r="Q1490" i="18"/>
  <c r="S1464" i="18"/>
  <c r="Q1464" i="18"/>
  <c r="S1448" i="18"/>
  <c r="Q1448" i="18"/>
  <c r="S1429" i="18"/>
  <c r="Q1429" i="18"/>
  <c r="S1401" i="18"/>
  <c r="Q1401" i="18"/>
  <c r="S1382" i="18"/>
  <c r="Q1382" i="18"/>
  <c r="S1353" i="18"/>
  <c r="Q1353" i="18"/>
  <c r="S1325" i="18"/>
  <c r="Q1325" i="18"/>
  <c r="S1308" i="18"/>
  <c r="Q1308" i="18"/>
  <c r="S1283" i="18"/>
  <c r="Q1283" i="18"/>
  <c r="S1264" i="18"/>
  <c r="Q1264" i="18"/>
  <c r="R1230" i="18"/>
  <c r="P1230" i="18"/>
  <c r="R1196" i="18"/>
  <c r="P1196" i="18"/>
  <c r="R1180" i="18"/>
  <c r="P1180" i="18"/>
  <c r="R1134" i="18"/>
  <c r="P1134" i="18"/>
  <c r="R1091" i="18"/>
  <c r="P1091" i="18"/>
  <c r="R1075" i="18"/>
  <c r="P1075" i="18"/>
  <c r="R1011" i="18"/>
  <c r="P1011" i="18"/>
  <c r="Q959" i="18"/>
  <c r="O959" i="18"/>
  <c r="Q909" i="18"/>
  <c r="O909" i="18"/>
  <c r="Q895" i="18"/>
  <c r="O895" i="18"/>
  <c r="K895" i="18"/>
  <c r="I895" i="18"/>
  <c r="Q873" i="18"/>
  <c r="O873" i="18"/>
  <c r="K873" i="18"/>
  <c r="Q818" i="18"/>
  <c r="O818" i="18"/>
  <c r="K818" i="18"/>
  <c r="Q791" i="18"/>
  <c r="O791" i="18"/>
  <c r="K791" i="18"/>
  <c r="Q733" i="18"/>
  <c r="O733" i="18"/>
  <c r="Q681" i="18"/>
  <c r="O681" i="18"/>
  <c r="K681" i="18"/>
  <c r="P588" i="18"/>
  <c r="N588" i="18"/>
  <c r="P552" i="18"/>
  <c r="N552" i="18"/>
  <c r="P534" i="18"/>
  <c r="N534" i="18"/>
  <c r="P473" i="18"/>
  <c r="N473" i="18"/>
  <c r="P439" i="18"/>
  <c r="N439" i="18"/>
  <c r="P399" i="18"/>
  <c r="N399" i="18"/>
  <c r="J399" i="18"/>
  <c r="H399" i="18"/>
  <c r="P335" i="18"/>
  <c r="N335" i="18"/>
  <c r="P283" i="18"/>
  <c r="N283" i="18"/>
  <c r="J283" i="18"/>
  <c r="H283" i="18"/>
  <c r="P234" i="18"/>
  <c r="N234" i="18"/>
  <c r="P170" i="18"/>
  <c r="N170" i="18"/>
  <c r="X127" i="18" l="1"/>
  <c r="E127" i="18" s="1"/>
  <c r="J127" i="18"/>
  <c r="D127" i="18"/>
  <c r="C127" i="18"/>
  <c r="X126" i="18"/>
  <c r="J126" i="18"/>
  <c r="D126" i="18"/>
  <c r="C126" i="18"/>
  <c r="X125" i="18"/>
  <c r="J125" i="18"/>
  <c r="D125" i="18"/>
  <c r="C125" i="18"/>
  <c r="X124" i="18"/>
  <c r="S124" i="18"/>
  <c r="J124" i="18"/>
  <c r="E124" i="18"/>
  <c r="D124" i="18"/>
  <c r="C124" i="18"/>
  <c r="X123" i="18"/>
  <c r="S123" i="18"/>
  <c r="D123" i="18" s="1"/>
  <c r="J123" i="18"/>
  <c r="E123" i="18"/>
  <c r="C123" i="18"/>
  <c r="X122" i="18"/>
  <c r="E122" i="18" s="1"/>
  <c r="S122" i="18"/>
  <c r="J122" i="18"/>
  <c r="C122" i="18" s="1"/>
  <c r="D122" i="18"/>
  <c r="AB120" i="18"/>
  <c r="AA120" i="18"/>
  <c r="Z120" i="18"/>
  <c r="Y120" i="18"/>
  <c r="X120" i="18"/>
  <c r="W120" i="18"/>
  <c r="V120" i="18"/>
  <c r="U120" i="18"/>
  <c r="T120" i="18"/>
  <c r="S120" i="18"/>
  <c r="R120" i="18"/>
  <c r="Q120" i="18"/>
  <c r="P120" i="18"/>
  <c r="O120" i="18"/>
  <c r="N120" i="18"/>
  <c r="M120" i="18"/>
  <c r="L120" i="18"/>
  <c r="K120" i="18"/>
  <c r="J120" i="18"/>
  <c r="I120" i="18"/>
  <c r="H120" i="18"/>
  <c r="G120" i="18"/>
  <c r="F120" i="18"/>
  <c r="C120" i="18" s="1"/>
  <c r="E120" i="18"/>
  <c r="D120" i="18"/>
  <c r="AB119" i="18"/>
  <c r="AA119" i="18"/>
  <c r="Z119" i="18"/>
  <c r="Y119" i="18"/>
  <c r="X119" i="18"/>
  <c r="W119" i="18"/>
  <c r="E119" i="18" s="1"/>
  <c r="V119" i="18"/>
  <c r="U119" i="18"/>
  <c r="T119" i="18"/>
  <c r="S119" i="18"/>
  <c r="R119" i="18"/>
  <c r="Q119" i="18"/>
  <c r="P119" i="18"/>
  <c r="O119" i="18"/>
  <c r="D119" i="18" s="1"/>
  <c r="M119" i="18"/>
  <c r="L119" i="18"/>
  <c r="K119" i="18"/>
  <c r="J119" i="18"/>
  <c r="I119" i="18"/>
  <c r="H119" i="18"/>
  <c r="G119" i="18"/>
  <c r="F119" i="18"/>
  <c r="C119" i="18" s="1"/>
  <c r="B119" i="18"/>
  <c r="AB118" i="18"/>
  <c r="AA118" i="18"/>
  <c r="Z118" i="18"/>
  <c r="Y118" i="18"/>
  <c r="X118" i="18"/>
  <c r="W118" i="18"/>
  <c r="V118" i="18"/>
  <c r="U118" i="18"/>
  <c r="T118" i="18"/>
  <c r="E118" i="18" s="1"/>
  <c r="S118" i="18"/>
  <c r="R118" i="18"/>
  <c r="Q118" i="18"/>
  <c r="P118" i="18"/>
  <c r="O118" i="18"/>
  <c r="N118" i="18"/>
  <c r="M118" i="18"/>
  <c r="L118" i="18"/>
  <c r="K118" i="18"/>
  <c r="J118" i="18"/>
  <c r="I118" i="18"/>
  <c r="H118" i="18"/>
  <c r="G118" i="18"/>
  <c r="F118" i="18"/>
  <c r="C118" i="18" s="1"/>
  <c r="D118" i="18"/>
  <c r="B118" i="18"/>
  <c r="AB117" i="18"/>
  <c r="AA117" i="18"/>
  <c r="Z117" i="18"/>
  <c r="Y117" i="18"/>
  <c r="X117" i="18"/>
  <c r="W117" i="18"/>
  <c r="V117" i="18"/>
  <c r="U117" i="18"/>
  <c r="T117" i="18"/>
  <c r="S117" i="18"/>
  <c r="R117" i="18"/>
  <c r="Q117" i="18"/>
  <c r="P117" i="18"/>
  <c r="O117" i="18"/>
  <c r="N117" i="18"/>
  <c r="M117" i="18"/>
  <c r="L117" i="18"/>
  <c r="K117" i="18"/>
  <c r="J117" i="18"/>
  <c r="I117" i="18"/>
  <c r="H117" i="18"/>
  <c r="G117" i="18"/>
  <c r="F117" i="18"/>
  <c r="D117" i="18"/>
  <c r="C117" i="18"/>
  <c r="B117" i="18"/>
  <c r="AB116" i="18"/>
  <c r="AA116" i="18"/>
  <c r="Z116" i="18"/>
  <c r="Y116" i="18"/>
  <c r="X116" i="18"/>
  <c r="W116" i="18"/>
  <c r="V116" i="18"/>
  <c r="U116" i="18"/>
  <c r="T116" i="18"/>
  <c r="S116" i="18"/>
  <c r="R116" i="18"/>
  <c r="Q116" i="18"/>
  <c r="P116" i="18"/>
  <c r="O116" i="18"/>
  <c r="D116" i="18" s="1"/>
  <c r="N116" i="18"/>
  <c r="M116" i="18"/>
  <c r="L116" i="18"/>
  <c r="K116" i="18"/>
  <c r="J116" i="18"/>
  <c r="I116" i="18"/>
  <c r="H116" i="18"/>
  <c r="G116" i="18"/>
  <c r="F116" i="18"/>
  <c r="C116" i="18" s="1"/>
  <c r="B116" i="18"/>
  <c r="AB115" i="18"/>
  <c r="AA115" i="18"/>
  <c r="Z115" i="18"/>
  <c r="Y115" i="18"/>
  <c r="X115" i="18"/>
  <c r="W115" i="18"/>
  <c r="V115" i="18"/>
  <c r="U115" i="18"/>
  <c r="T115" i="18"/>
  <c r="S115" i="18"/>
  <c r="R115" i="18"/>
  <c r="Q115" i="18"/>
  <c r="P115" i="18"/>
  <c r="O115" i="18"/>
  <c r="D115" i="18" s="1"/>
  <c r="N115" i="18"/>
  <c r="M115" i="18"/>
  <c r="L115" i="18"/>
  <c r="K115" i="18"/>
  <c r="J115" i="18"/>
  <c r="I115" i="18"/>
  <c r="H115" i="18"/>
  <c r="G115" i="18"/>
  <c r="F115" i="18"/>
  <c r="C115" i="18" s="1"/>
  <c r="E115" i="18"/>
  <c r="B115" i="18"/>
  <c r="AB114" i="18"/>
  <c r="AA114" i="18"/>
  <c r="Z114" i="18"/>
  <c r="Y114" i="18"/>
  <c r="X114" i="18"/>
  <c r="W114" i="18"/>
  <c r="V114" i="18"/>
  <c r="U114" i="18"/>
  <c r="E114" i="18" s="1"/>
  <c r="T114" i="18"/>
  <c r="S114" i="18"/>
  <c r="R114" i="18"/>
  <c r="Q114" i="18"/>
  <c r="P114" i="18"/>
  <c r="O114" i="18"/>
  <c r="N114" i="18"/>
  <c r="M114" i="18"/>
  <c r="L114" i="18"/>
  <c r="K114" i="18"/>
  <c r="J114" i="18"/>
  <c r="I114" i="18"/>
  <c r="H114" i="18"/>
  <c r="G114" i="18"/>
  <c r="F114" i="18"/>
  <c r="C114" i="18" s="1"/>
  <c r="D114" i="18"/>
  <c r="B114" i="18"/>
  <c r="AB113" i="18"/>
  <c r="AA113" i="18"/>
  <c r="Z113" i="18"/>
  <c r="Y113" i="18"/>
  <c r="X113" i="18"/>
  <c r="W113" i="18"/>
  <c r="V113" i="18"/>
  <c r="U113" i="18"/>
  <c r="T113" i="18"/>
  <c r="S113" i="18"/>
  <c r="R113" i="18"/>
  <c r="Q113" i="18"/>
  <c r="P113" i="18"/>
  <c r="O113" i="18"/>
  <c r="D113" i="18" s="1"/>
  <c r="N113" i="18"/>
  <c r="M113" i="18"/>
  <c r="L113" i="18"/>
  <c r="K113" i="18"/>
  <c r="J113" i="18"/>
  <c r="I113" i="18"/>
  <c r="H113" i="18"/>
  <c r="G113" i="18"/>
  <c r="F113" i="18"/>
  <c r="C113" i="18"/>
  <c r="B113" i="18"/>
  <c r="AB112" i="18"/>
  <c r="AA112" i="18"/>
  <c r="Z112" i="18"/>
  <c r="Y112" i="18"/>
  <c r="X112" i="18"/>
  <c r="W112" i="18"/>
  <c r="V112" i="18"/>
  <c r="U112" i="18"/>
  <c r="T112" i="18"/>
  <c r="S112" i="18"/>
  <c r="R112" i="18"/>
  <c r="Q112" i="18"/>
  <c r="P112" i="18"/>
  <c r="O112" i="18"/>
  <c r="D112" i="18" s="1"/>
  <c r="N112" i="18"/>
  <c r="M112" i="18"/>
  <c r="L112" i="18"/>
  <c r="K112" i="18"/>
  <c r="J112" i="18"/>
  <c r="I112" i="18"/>
  <c r="H112" i="18"/>
  <c r="G112" i="18"/>
  <c r="F112" i="18"/>
  <c r="C112" i="18"/>
  <c r="B112" i="18"/>
  <c r="AB111" i="18"/>
  <c r="AA111" i="18"/>
  <c r="Z111" i="18"/>
  <c r="Y111" i="18"/>
  <c r="X111" i="18"/>
  <c r="W111" i="18"/>
  <c r="V111" i="18"/>
  <c r="E111" i="18" s="1"/>
  <c r="U111" i="18"/>
  <c r="T111" i="18"/>
  <c r="S111" i="18"/>
  <c r="R111" i="18"/>
  <c r="Q111" i="18"/>
  <c r="P111" i="18"/>
  <c r="O111" i="18"/>
  <c r="D111" i="18" s="1"/>
  <c r="N111" i="18"/>
  <c r="M111" i="18"/>
  <c r="L111" i="18"/>
  <c r="K111" i="18"/>
  <c r="J111" i="18"/>
  <c r="I111" i="18"/>
  <c r="H111" i="18"/>
  <c r="G111" i="18"/>
  <c r="F111" i="18"/>
  <c r="C111" i="18" s="1"/>
  <c r="B111" i="18"/>
  <c r="AB110" i="18"/>
  <c r="AA110" i="18"/>
  <c r="Z110" i="18"/>
  <c r="Y110" i="18"/>
  <c r="X110" i="18"/>
  <c r="W110" i="18"/>
  <c r="V110" i="18"/>
  <c r="U110" i="18"/>
  <c r="T110" i="18"/>
  <c r="E110" i="18" s="1"/>
  <c r="S110" i="18"/>
  <c r="R110" i="18"/>
  <c r="Q110" i="18"/>
  <c r="P110" i="18"/>
  <c r="O110" i="18"/>
  <c r="N110" i="18"/>
  <c r="M110" i="18"/>
  <c r="L110" i="18"/>
  <c r="K110" i="18"/>
  <c r="J110" i="18"/>
  <c r="I110" i="18"/>
  <c r="H110" i="18"/>
  <c r="G110" i="18"/>
  <c r="F110" i="18"/>
  <c r="C110" i="18" s="1"/>
  <c r="D110" i="18"/>
  <c r="B110" i="18"/>
  <c r="AB109" i="18"/>
  <c r="AA109" i="18"/>
  <c r="Z109" i="18"/>
  <c r="Y109" i="18"/>
  <c r="X109" i="18"/>
  <c r="W109" i="18"/>
  <c r="V109" i="18"/>
  <c r="U109" i="18"/>
  <c r="T109" i="18"/>
  <c r="S109" i="18"/>
  <c r="R109" i="18"/>
  <c r="Q109" i="18"/>
  <c r="P109" i="18"/>
  <c r="O109" i="18"/>
  <c r="N109" i="18"/>
  <c r="M109" i="18"/>
  <c r="L109" i="18"/>
  <c r="K109" i="18"/>
  <c r="J109" i="18"/>
  <c r="I109" i="18"/>
  <c r="H109" i="18"/>
  <c r="G109" i="18"/>
  <c r="F109" i="18"/>
  <c r="D109" i="18"/>
  <c r="C109" i="18"/>
  <c r="B109" i="18"/>
  <c r="AB108" i="18"/>
  <c r="AB107" i="18" s="1"/>
  <c r="AA108" i="18"/>
  <c r="AA107" i="18" s="1"/>
  <c r="Z108" i="18"/>
  <c r="Y108" i="18"/>
  <c r="X108" i="18"/>
  <c r="X107" i="18" s="1"/>
  <c r="W108" i="18"/>
  <c r="W107" i="18" s="1"/>
  <c r="W121" i="18" s="1"/>
  <c r="W128" i="18" s="1"/>
  <c r="V108" i="18"/>
  <c r="U108" i="18"/>
  <c r="T108" i="18"/>
  <c r="S108" i="18"/>
  <c r="S107" i="18" s="1"/>
  <c r="R108" i="18"/>
  <c r="Q108" i="18"/>
  <c r="P108" i="18"/>
  <c r="P107" i="18" s="1"/>
  <c r="O108" i="18"/>
  <c r="N108" i="18"/>
  <c r="M108" i="18"/>
  <c r="L108" i="18"/>
  <c r="L107" i="18" s="1"/>
  <c r="K108" i="18"/>
  <c r="K107" i="18" s="1"/>
  <c r="J108" i="18"/>
  <c r="I108" i="18"/>
  <c r="H108" i="18"/>
  <c r="H107" i="18" s="1"/>
  <c r="G108" i="18"/>
  <c r="G107" i="18" s="1"/>
  <c r="F108" i="18"/>
  <c r="C108" i="18" s="1"/>
  <c r="C107" i="18" s="1"/>
  <c r="B108" i="18"/>
  <c r="Z107" i="18"/>
  <c r="Y107" i="18"/>
  <c r="V107" i="18"/>
  <c r="U107" i="18"/>
  <c r="R107" i="18"/>
  <c r="Q107" i="18"/>
  <c r="N107" i="18"/>
  <c r="M107" i="18"/>
  <c r="J107" i="18"/>
  <c r="I107" i="18"/>
  <c r="AB106" i="18"/>
  <c r="AA106" i="18"/>
  <c r="Z106" i="18"/>
  <c r="Y106" i="18"/>
  <c r="X106" i="18"/>
  <c r="W106" i="18"/>
  <c r="V106" i="18"/>
  <c r="U106" i="18"/>
  <c r="T106" i="18"/>
  <c r="E106" i="18" s="1"/>
  <c r="S106" i="18"/>
  <c r="R106" i="18"/>
  <c r="Q106" i="18"/>
  <c r="P106" i="18"/>
  <c r="O106" i="18"/>
  <c r="N106" i="18"/>
  <c r="M106" i="18"/>
  <c r="L106" i="18"/>
  <c r="K106" i="18"/>
  <c r="J106" i="18"/>
  <c r="I106" i="18"/>
  <c r="H106" i="18"/>
  <c r="G106" i="18"/>
  <c r="F106" i="18"/>
  <c r="D106" i="18"/>
  <c r="C106" i="18"/>
  <c r="B106" i="18"/>
  <c r="V105" i="18"/>
  <c r="V121" i="18" s="1"/>
  <c r="V128" i="18" s="1"/>
  <c r="N105" i="18"/>
  <c r="N121" i="18" s="1"/>
  <c r="N128" i="18" s="1"/>
  <c r="AB104" i="18"/>
  <c r="AA104" i="18"/>
  <c r="X104" i="18"/>
  <c r="W104" i="18"/>
  <c r="T104" i="18"/>
  <c r="S104" i="18"/>
  <c r="S105" i="18" s="1"/>
  <c r="S121" i="18" s="1"/>
  <c r="S128" i="18" s="1"/>
  <c r="P104" i="18"/>
  <c r="O104" i="18"/>
  <c r="L104" i="18"/>
  <c r="K104" i="18"/>
  <c r="H104" i="18"/>
  <c r="G104" i="18"/>
  <c r="D104" i="18"/>
  <c r="AB103" i="18"/>
  <c r="AA103" i="18"/>
  <c r="Z103" i="18"/>
  <c r="Y103" i="18"/>
  <c r="X103" i="18"/>
  <c r="W103" i="18"/>
  <c r="V103" i="18"/>
  <c r="U103" i="18"/>
  <c r="T103" i="18"/>
  <c r="S103" i="18"/>
  <c r="R103" i="18"/>
  <c r="Q103" i="18"/>
  <c r="P103" i="18"/>
  <c r="O103" i="18"/>
  <c r="N103" i="18"/>
  <c r="M103" i="18"/>
  <c r="L103" i="18"/>
  <c r="K103" i="18"/>
  <c r="J103" i="18"/>
  <c r="I103" i="18"/>
  <c r="H103" i="18"/>
  <c r="G103" i="18"/>
  <c r="F103" i="18"/>
  <c r="C103" i="18" s="1"/>
  <c r="E103" i="18"/>
  <c r="D103" i="18"/>
  <c r="B103" i="18"/>
  <c r="AB102" i="18"/>
  <c r="AA102" i="18"/>
  <c r="Z102" i="18"/>
  <c r="Y102" i="18"/>
  <c r="X102" i="18"/>
  <c r="W102" i="18"/>
  <c r="V102" i="18"/>
  <c r="U102" i="18"/>
  <c r="T102" i="18"/>
  <c r="S102" i="18"/>
  <c r="R102" i="18"/>
  <c r="Q102" i="18"/>
  <c r="P102" i="18"/>
  <c r="O102" i="18"/>
  <c r="N102" i="18"/>
  <c r="M102" i="18"/>
  <c r="L102" i="18"/>
  <c r="K102" i="18"/>
  <c r="J102" i="18"/>
  <c r="I102" i="18"/>
  <c r="H102" i="18"/>
  <c r="G102" i="18"/>
  <c r="F102" i="18"/>
  <c r="C102" i="18" s="1"/>
  <c r="E102" i="18"/>
  <c r="D102" i="18"/>
  <c r="B102" i="18"/>
  <c r="AB101" i="18"/>
  <c r="AA101" i="18"/>
  <c r="Z101" i="18"/>
  <c r="Y101" i="18"/>
  <c r="X101" i="18"/>
  <c r="W101" i="18"/>
  <c r="V101" i="18"/>
  <c r="U101" i="18"/>
  <c r="T101" i="18"/>
  <c r="E101" i="18" s="1"/>
  <c r="S101" i="18"/>
  <c r="R101" i="18"/>
  <c r="Q101" i="18"/>
  <c r="P101" i="18"/>
  <c r="O101" i="18"/>
  <c r="D101" i="18" s="1"/>
  <c r="N101" i="18"/>
  <c r="M101" i="18"/>
  <c r="L101" i="18"/>
  <c r="K101" i="18"/>
  <c r="J101" i="18"/>
  <c r="H101" i="18"/>
  <c r="G101" i="18"/>
  <c r="F101" i="18"/>
  <c r="C101" i="18" s="1"/>
  <c r="B101" i="18"/>
  <c r="AB100" i="18"/>
  <c r="AA100" i="18"/>
  <c r="Z100" i="18"/>
  <c r="Y100" i="18"/>
  <c r="X100" i="18"/>
  <c r="W100" i="18"/>
  <c r="V100" i="18"/>
  <c r="U100" i="18"/>
  <c r="T100" i="18"/>
  <c r="S100" i="18"/>
  <c r="R100" i="18"/>
  <c r="Q100" i="18"/>
  <c r="P100" i="18"/>
  <c r="O100" i="18"/>
  <c r="N100" i="18"/>
  <c r="M100" i="18"/>
  <c r="L100" i="18"/>
  <c r="K100" i="18"/>
  <c r="J100" i="18"/>
  <c r="I100" i="18"/>
  <c r="H100" i="18"/>
  <c r="G100" i="18"/>
  <c r="F100" i="18"/>
  <c r="C100" i="18" s="1"/>
  <c r="E100" i="18"/>
  <c r="D100" i="18"/>
  <c r="AB99" i="18"/>
  <c r="AA99" i="18"/>
  <c r="Z99" i="18"/>
  <c r="Y99" i="18"/>
  <c r="X99" i="18"/>
  <c r="W99" i="18"/>
  <c r="V99" i="18"/>
  <c r="U99" i="18"/>
  <c r="T99" i="18"/>
  <c r="E99" i="18" s="1"/>
  <c r="S99" i="18"/>
  <c r="R99" i="18"/>
  <c r="Q99" i="18"/>
  <c r="P99" i="18"/>
  <c r="O99" i="18"/>
  <c r="N99" i="18"/>
  <c r="M99" i="18"/>
  <c r="L99" i="18"/>
  <c r="K99" i="18"/>
  <c r="J99" i="18"/>
  <c r="I99" i="18"/>
  <c r="H99" i="18"/>
  <c r="G99" i="18"/>
  <c r="F99" i="18"/>
  <c r="D99" i="18"/>
  <c r="C99" i="18"/>
  <c r="B99" i="18"/>
  <c r="AB98" i="18"/>
  <c r="AA98" i="18"/>
  <c r="Z98" i="18"/>
  <c r="Y98" i="18"/>
  <c r="X98" i="18"/>
  <c r="W98" i="18"/>
  <c r="V98" i="18"/>
  <c r="U98" i="18"/>
  <c r="T98" i="18"/>
  <c r="S98" i="18"/>
  <c r="R98" i="18"/>
  <c r="Q98" i="18"/>
  <c r="P98" i="18"/>
  <c r="O98" i="18"/>
  <c r="D98" i="18" s="1"/>
  <c r="N98" i="18"/>
  <c r="M98" i="18"/>
  <c r="L98" i="18"/>
  <c r="K98" i="18"/>
  <c r="J98" i="18"/>
  <c r="I98" i="18"/>
  <c r="H98" i="18"/>
  <c r="G98" i="18"/>
  <c r="F98" i="18"/>
  <c r="C98" i="18" s="1"/>
  <c r="B98" i="18"/>
  <c r="AB97" i="18"/>
  <c r="AA97" i="18"/>
  <c r="Z97" i="18"/>
  <c r="Z104" i="18" s="1"/>
  <c r="Y97" i="18"/>
  <c r="Y104" i="18" s="1"/>
  <c r="X97" i="18"/>
  <c r="W97" i="18"/>
  <c r="V97" i="18"/>
  <c r="V104" i="18" s="1"/>
  <c r="U97" i="18"/>
  <c r="U104" i="18" s="1"/>
  <c r="T97" i="18"/>
  <c r="S97" i="18"/>
  <c r="R97" i="18"/>
  <c r="R104" i="18" s="1"/>
  <c r="R105" i="18" s="1"/>
  <c r="R121" i="18" s="1"/>
  <c r="R128" i="18" s="1"/>
  <c r="Q97" i="18"/>
  <c r="Q104" i="18" s="1"/>
  <c r="P97" i="18"/>
  <c r="O97" i="18"/>
  <c r="N97" i="18"/>
  <c r="N104" i="18" s="1"/>
  <c r="M97" i="18"/>
  <c r="M104" i="18" s="1"/>
  <c r="L97" i="18"/>
  <c r="K97" i="18"/>
  <c r="J97" i="18"/>
  <c r="J104" i="18" s="1"/>
  <c r="J105" i="18" s="1"/>
  <c r="J121" i="18" s="1"/>
  <c r="J128" i="18" s="1"/>
  <c r="I97" i="18"/>
  <c r="I104" i="18" s="1"/>
  <c r="H97" i="18"/>
  <c r="G97" i="18"/>
  <c r="F97" i="18"/>
  <c r="E97" i="18"/>
  <c r="E104" i="18" s="1"/>
  <c r="D97" i="18"/>
  <c r="B97" i="18"/>
  <c r="X96" i="18"/>
  <c r="W96" i="18"/>
  <c r="T96" i="18"/>
  <c r="S96" i="18"/>
  <c r="P96" i="18"/>
  <c r="O96" i="18"/>
  <c r="L96" i="18"/>
  <c r="K96" i="18"/>
  <c r="H96" i="18"/>
  <c r="G96" i="18"/>
  <c r="D96" i="18"/>
  <c r="AB95" i="18"/>
  <c r="AA95" i="18"/>
  <c r="Z95" i="18"/>
  <c r="Y95" i="18"/>
  <c r="X95" i="18"/>
  <c r="W95" i="18"/>
  <c r="V95" i="18"/>
  <c r="E95" i="18" s="1"/>
  <c r="U95" i="18"/>
  <c r="T95" i="18"/>
  <c r="S95" i="18"/>
  <c r="R95" i="18"/>
  <c r="Q95" i="18"/>
  <c r="P95" i="18"/>
  <c r="O95" i="18"/>
  <c r="N95" i="18"/>
  <c r="M95" i="18"/>
  <c r="L95" i="18"/>
  <c r="K95" i="18"/>
  <c r="J95" i="18"/>
  <c r="I95" i="18"/>
  <c r="H95" i="18"/>
  <c r="G95" i="18"/>
  <c r="F95" i="18"/>
  <c r="C95" i="18" s="1"/>
  <c r="D95" i="18"/>
  <c r="B95" i="18"/>
  <c r="AB94" i="18"/>
  <c r="AA94" i="18"/>
  <c r="Z94" i="18"/>
  <c r="Y94" i="18"/>
  <c r="X94" i="18"/>
  <c r="W94" i="18"/>
  <c r="V94" i="18"/>
  <c r="U94" i="18"/>
  <c r="T94" i="18"/>
  <c r="S94" i="18"/>
  <c r="R94" i="18"/>
  <c r="Q94" i="18"/>
  <c r="P94" i="18"/>
  <c r="O94" i="18"/>
  <c r="N94" i="18"/>
  <c r="M94" i="18"/>
  <c r="L94" i="18"/>
  <c r="K94" i="18"/>
  <c r="J94" i="18"/>
  <c r="I94" i="18"/>
  <c r="H94" i="18"/>
  <c r="G94" i="18"/>
  <c r="F94" i="18"/>
  <c r="E94" i="18"/>
  <c r="D94" i="18"/>
  <c r="C94" i="18"/>
  <c r="B94" i="18"/>
  <c r="AB93" i="18"/>
  <c r="AA93" i="18"/>
  <c r="Z93" i="18"/>
  <c r="Y93" i="18"/>
  <c r="X93" i="18"/>
  <c r="W93" i="18"/>
  <c r="V93" i="18"/>
  <c r="U93" i="18"/>
  <c r="T93" i="18"/>
  <c r="E93" i="18" s="1"/>
  <c r="S93" i="18"/>
  <c r="R93" i="18"/>
  <c r="Q93" i="18"/>
  <c r="P93" i="18"/>
  <c r="O93" i="18"/>
  <c r="N93" i="18"/>
  <c r="M93" i="18"/>
  <c r="L93" i="18"/>
  <c r="K93" i="18"/>
  <c r="J93" i="18"/>
  <c r="I93" i="18"/>
  <c r="H93" i="18"/>
  <c r="G93" i="18"/>
  <c r="F93" i="18"/>
  <c r="D93" i="18"/>
  <c r="C93" i="18"/>
  <c r="B93" i="18"/>
  <c r="AB92" i="18"/>
  <c r="AA92" i="18"/>
  <c r="Z92" i="18"/>
  <c r="Y92" i="18"/>
  <c r="X92" i="18"/>
  <c r="V92" i="18"/>
  <c r="U92" i="18"/>
  <c r="T92" i="18"/>
  <c r="S92" i="18"/>
  <c r="R92" i="18"/>
  <c r="Q92" i="18"/>
  <c r="P92" i="18"/>
  <c r="O92" i="18"/>
  <c r="N92" i="18"/>
  <c r="M92" i="18"/>
  <c r="L92" i="18"/>
  <c r="K92" i="18"/>
  <c r="J92" i="18"/>
  <c r="I92" i="18"/>
  <c r="H92" i="18"/>
  <c r="G92" i="18"/>
  <c r="F92" i="18"/>
  <c r="C92" i="18" s="1"/>
  <c r="E92" i="18"/>
  <c r="D92" i="18"/>
  <c r="B92" i="18"/>
  <c r="AB91" i="18"/>
  <c r="AA91" i="18"/>
  <c r="Z91" i="18"/>
  <c r="Y91" i="18"/>
  <c r="X91" i="18"/>
  <c r="V91" i="18"/>
  <c r="U91" i="18"/>
  <c r="T91" i="18"/>
  <c r="S91" i="18"/>
  <c r="R91" i="18"/>
  <c r="Q91" i="18"/>
  <c r="P91" i="18"/>
  <c r="O91" i="18"/>
  <c r="D91" i="18" s="1"/>
  <c r="N91" i="18"/>
  <c r="M91" i="18"/>
  <c r="L91" i="18"/>
  <c r="K91" i="18"/>
  <c r="J91" i="18"/>
  <c r="I91" i="18"/>
  <c r="H91" i="18"/>
  <c r="G91" i="18"/>
  <c r="F91" i="18"/>
  <c r="C91" i="18"/>
  <c r="B91" i="18"/>
  <c r="AB90" i="18"/>
  <c r="AA90" i="18"/>
  <c r="Z90" i="18"/>
  <c r="Y90" i="18"/>
  <c r="X90" i="18"/>
  <c r="V90" i="18"/>
  <c r="E90" i="18" s="1"/>
  <c r="U90" i="18"/>
  <c r="T90" i="18"/>
  <c r="S90" i="18"/>
  <c r="R90" i="18"/>
  <c r="Q90" i="18"/>
  <c r="P90" i="18"/>
  <c r="O90" i="18"/>
  <c r="N90" i="18"/>
  <c r="M90" i="18"/>
  <c r="L90" i="18"/>
  <c r="K90" i="18"/>
  <c r="J90" i="18"/>
  <c r="I90" i="18"/>
  <c r="H90" i="18"/>
  <c r="G90" i="18"/>
  <c r="F90" i="18"/>
  <c r="C90" i="18" s="1"/>
  <c r="D90" i="18"/>
  <c r="B90" i="18"/>
  <c r="AB89" i="18"/>
  <c r="AA89" i="18"/>
  <c r="Z89" i="18"/>
  <c r="Y89" i="18"/>
  <c r="X89" i="18"/>
  <c r="V89" i="18"/>
  <c r="U89" i="18"/>
  <c r="T89" i="18"/>
  <c r="E89" i="18" s="1"/>
  <c r="S89" i="18"/>
  <c r="R89" i="18"/>
  <c r="Q89" i="18"/>
  <c r="P89" i="18"/>
  <c r="O89" i="18"/>
  <c r="N89" i="18"/>
  <c r="M89" i="18"/>
  <c r="L89" i="18"/>
  <c r="K89" i="18"/>
  <c r="J89" i="18"/>
  <c r="I89" i="18"/>
  <c r="H89" i="18"/>
  <c r="G89" i="18"/>
  <c r="F89" i="18"/>
  <c r="D89" i="18"/>
  <c r="C89" i="18"/>
  <c r="B89" i="18"/>
  <c r="AB88" i="18"/>
  <c r="AA88" i="18"/>
  <c r="AA96" i="18" s="1"/>
  <c r="Z88" i="18"/>
  <c r="Z96" i="18" s="1"/>
  <c r="Z105" i="18" s="1"/>
  <c r="Z121" i="18" s="1"/>
  <c r="Z128" i="18" s="1"/>
  <c r="Y88" i="18"/>
  <c r="Y96" i="18" s="1"/>
  <c r="X88" i="18"/>
  <c r="V88" i="18"/>
  <c r="V96" i="18" s="1"/>
  <c r="U88" i="18"/>
  <c r="U96" i="18" s="1"/>
  <c r="T88" i="18"/>
  <c r="S88" i="18"/>
  <c r="R88" i="18"/>
  <c r="R96" i="18" s="1"/>
  <c r="Q88" i="18"/>
  <c r="Q96" i="18" s="1"/>
  <c r="P88" i="18"/>
  <c r="O88" i="18"/>
  <c r="D88" i="18" s="1"/>
  <c r="N88" i="18"/>
  <c r="N96" i="18" s="1"/>
  <c r="M88" i="18"/>
  <c r="M96" i="18" s="1"/>
  <c r="L88" i="18"/>
  <c r="K88" i="18"/>
  <c r="J88" i="18"/>
  <c r="J96" i="18" s="1"/>
  <c r="I88" i="18"/>
  <c r="I96" i="18" s="1"/>
  <c r="H88" i="18"/>
  <c r="G88" i="18"/>
  <c r="F88" i="18"/>
  <c r="E88" i="18"/>
  <c r="E96" i="18" s="1"/>
  <c r="B88" i="18"/>
  <c r="AB87" i="18"/>
  <c r="Y87" i="18"/>
  <c r="X87" i="18"/>
  <c r="W87" i="18"/>
  <c r="T87" i="18"/>
  <c r="P87" i="18"/>
  <c r="L87" i="18"/>
  <c r="H87" i="18"/>
  <c r="D87" i="18"/>
  <c r="AB86" i="18"/>
  <c r="AA86" i="18"/>
  <c r="Z86" i="18"/>
  <c r="Y86" i="18"/>
  <c r="X86" i="18"/>
  <c r="V86" i="18"/>
  <c r="E86" i="18" s="1"/>
  <c r="U86" i="18"/>
  <c r="T86" i="18"/>
  <c r="S86" i="18"/>
  <c r="R86" i="18"/>
  <c r="Q86" i="18"/>
  <c r="P86" i="18"/>
  <c r="O86" i="18"/>
  <c r="D86" i="18" s="1"/>
  <c r="N86" i="18"/>
  <c r="M86" i="18"/>
  <c r="L86" i="18"/>
  <c r="K86" i="18"/>
  <c r="J86" i="18"/>
  <c r="I86" i="18"/>
  <c r="H86" i="18"/>
  <c r="G86" i="18"/>
  <c r="F86" i="18"/>
  <c r="C86" i="18" s="1"/>
  <c r="B86" i="18"/>
  <c r="AB85" i="18"/>
  <c r="AA85" i="18"/>
  <c r="Z85" i="18"/>
  <c r="Y85" i="18"/>
  <c r="X85" i="18"/>
  <c r="V85" i="18"/>
  <c r="U85" i="18"/>
  <c r="T85" i="18"/>
  <c r="S85" i="18"/>
  <c r="R85" i="18"/>
  <c r="Q85" i="18"/>
  <c r="P85" i="18"/>
  <c r="O85" i="18"/>
  <c r="D85" i="18" s="1"/>
  <c r="N85" i="18"/>
  <c r="M85" i="18"/>
  <c r="L85" i="18"/>
  <c r="K85" i="18"/>
  <c r="J85" i="18"/>
  <c r="I85" i="18"/>
  <c r="H85" i="18"/>
  <c r="G85" i="18"/>
  <c r="F85" i="18"/>
  <c r="C85" i="18"/>
  <c r="B85" i="18"/>
  <c r="AB84" i="18"/>
  <c r="AA84" i="18"/>
  <c r="Z84" i="18"/>
  <c r="Y84" i="18"/>
  <c r="X84" i="18"/>
  <c r="V84" i="18"/>
  <c r="U84" i="18"/>
  <c r="T84" i="18"/>
  <c r="S84" i="18"/>
  <c r="R84" i="18"/>
  <c r="Q84" i="18"/>
  <c r="P84" i="18"/>
  <c r="O84" i="18"/>
  <c r="D84" i="18" s="1"/>
  <c r="N84" i="18"/>
  <c r="M84" i="18"/>
  <c r="L84" i="18"/>
  <c r="K84" i="18"/>
  <c r="J84" i="18"/>
  <c r="I84" i="18"/>
  <c r="H84" i="18"/>
  <c r="G84" i="18"/>
  <c r="F84" i="18"/>
  <c r="C84" i="18" s="1"/>
  <c r="E84" i="18"/>
  <c r="B84" i="18"/>
  <c r="AB83" i="18"/>
  <c r="AA83" i="18"/>
  <c r="Z83" i="18"/>
  <c r="Y83" i="18"/>
  <c r="X83" i="18"/>
  <c r="V83" i="18"/>
  <c r="U83" i="18"/>
  <c r="T83" i="18"/>
  <c r="E83" i="18" s="1"/>
  <c r="S83" i="18"/>
  <c r="R83" i="18"/>
  <c r="Q83" i="18"/>
  <c r="P83" i="18"/>
  <c r="O83" i="18"/>
  <c r="N83" i="18"/>
  <c r="M83" i="18"/>
  <c r="L83" i="18"/>
  <c r="K83" i="18"/>
  <c r="J83" i="18"/>
  <c r="I83" i="18"/>
  <c r="H83" i="18"/>
  <c r="G83" i="18"/>
  <c r="F83" i="18"/>
  <c r="D83" i="18"/>
  <c r="C83" i="18"/>
  <c r="B83" i="18"/>
  <c r="AB82" i="18"/>
  <c r="AA82" i="18"/>
  <c r="AA87" i="18" s="1"/>
  <c r="Z82" i="18"/>
  <c r="Z87" i="18" s="1"/>
  <c r="Y82" i="18"/>
  <c r="X82" i="18"/>
  <c r="V82" i="18"/>
  <c r="V87" i="18" s="1"/>
  <c r="U82" i="18"/>
  <c r="U87" i="18" s="1"/>
  <c r="T82" i="18"/>
  <c r="S82" i="18"/>
  <c r="S87" i="18" s="1"/>
  <c r="R82" i="18"/>
  <c r="R87" i="18" s="1"/>
  <c r="Q82" i="18"/>
  <c r="Q87" i="18" s="1"/>
  <c r="P82" i="18"/>
  <c r="O82" i="18"/>
  <c r="O87" i="18" s="1"/>
  <c r="N82" i="18"/>
  <c r="N87" i="18" s="1"/>
  <c r="M82" i="18"/>
  <c r="M87" i="18" s="1"/>
  <c r="L82" i="18"/>
  <c r="K82" i="18"/>
  <c r="K87" i="18" s="1"/>
  <c r="J82" i="18"/>
  <c r="J87" i="18" s="1"/>
  <c r="I82" i="18"/>
  <c r="I87" i="18" s="1"/>
  <c r="H82" i="18"/>
  <c r="G82" i="18"/>
  <c r="G87" i="18" s="1"/>
  <c r="F82" i="18"/>
  <c r="E82" i="18"/>
  <c r="E87" i="18" s="1"/>
  <c r="D82" i="18"/>
  <c r="B82" i="18"/>
  <c r="Y81" i="18"/>
  <c r="Q81" i="18"/>
  <c r="K81" i="18"/>
  <c r="AB80" i="18"/>
  <c r="AA80" i="18"/>
  <c r="Z80" i="18"/>
  <c r="Y80" i="18"/>
  <c r="X80" i="18"/>
  <c r="W80" i="18"/>
  <c r="V80" i="18"/>
  <c r="U80" i="18"/>
  <c r="T80" i="18"/>
  <c r="S80" i="18"/>
  <c r="R80" i="18"/>
  <c r="Q80" i="18"/>
  <c r="P80" i="18"/>
  <c r="O80" i="18"/>
  <c r="N80" i="18"/>
  <c r="M80" i="18"/>
  <c r="L80" i="18"/>
  <c r="K80" i="18"/>
  <c r="J80" i="18"/>
  <c r="I80" i="18"/>
  <c r="H80" i="18"/>
  <c r="G80" i="18"/>
  <c r="F80" i="18"/>
  <c r="C80" i="18" s="1"/>
  <c r="E80" i="18"/>
  <c r="D80" i="18"/>
  <c r="B80" i="18"/>
  <c r="AB79" i="18"/>
  <c r="AA79" i="18"/>
  <c r="Z79" i="18"/>
  <c r="Y79" i="18"/>
  <c r="X79" i="18"/>
  <c r="W79" i="18"/>
  <c r="V79" i="18"/>
  <c r="U79" i="18"/>
  <c r="T79" i="18"/>
  <c r="S79" i="18"/>
  <c r="R79" i="18"/>
  <c r="Q79" i="18"/>
  <c r="P79" i="18"/>
  <c r="O79" i="18"/>
  <c r="N79" i="18"/>
  <c r="M79" i="18"/>
  <c r="L79" i="18"/>
  <c r="K79" i="18"/>
  <c r="J79" i="18"/>
  <c r="I79" i="18"/>
  <c r="H79" i="18"/>
  <c r="G79" i="18"/>
  <c r="F79" i="18"/>
  <c r="C79" i="18" s="1"/>
  <c r="E79" i="18"/>
  <c r="D79" i="18"/>
  <c r="B79" i="18"/>
  <c r="AB78" i="18"/>
  <c r="AA78" i="18"/>
  <c r="Z78" i="18"/>
  <c r="Y78" i="18"/>
  <c r="X78" i="18"/>
  <c r="W78" i="18"/>
  <c r="V78" i="18"/>
  <c r="U78" i="18"/>
  <c r="T78" i="18"/>
  <c r="E78" i="18" s="1"/>
  <c r="S78" i="18"/>
  <c r="R78" i="18"/>
  <c r="Q78" i="18"/>
  <c r="P78" i="18"/>
  <c r="O78" i="18"/>
  <c r="N78" i="18"/>
  <c r="M78" i="18"/>
  <c r="L78" i="18"/>
  <c r="K78" i="18"/>
  <c r="J78" i="18"/>
  <c r="I78" i="18"/>
  <c r="H78" i="18"/>
  <c r="G78" i="18"/>
  <c r="F78" i="18"/>
  <c r="D78" i="18"/>
  <c r="C78" i="18"/>
  <c r="AB77" i="18"/>
  <c r="AA77" i="18"/>
  <c r="Z77" i="18"/>
  <c r="Y77" i="18"/>
  <c r="X77" i="18"/>
  <c r="W77" i="18"/>
  <c r="V77" i="18"/>
  <c r="U77" i="18"/>
  <c r="T77" i="18"/>
  <c r="S77" i="18"/>
  <c r="R77" i="18"/>
  <c r="Q77" i="18"/>
  <c r="P77" i="18"/>
  <c r="O77" i="18"/>
  <c r="D77" i="18" s="1"/>
  <c r="N77" i="18"/>
  <c r="M77" i="18"/>
  <c r="L77" i="18"/>
  <c r="K77" i="18"/>
  <c r="J77" i="18"/>
  <c r="I77" i="18"/>
  <c r="H77" i="18"/>
  <c r="G77" i="18"/>
  <c r="F77" i="18"/>
  <c r="C77" i="18" s="1"/>
  <c r="E77" i="18"/>
  <c r="B77" i="18"/>
  <c r="AB76" i="18"/>
  <c r="AA76" i="18"/>
  <c r="Z76" i="18"/>
  <c r="Y76" i="18"/>
  <c r="X76" i="18"/>
  <c r="W76" i="18"/>
  <c r="V76" i="18"/>
  <c r="U76" i="18"/>
  <c r="T76" i="18"/>
  <c r="S76" i="18"/>
  <c r="R76" i="18"/>
  <c r="Q76" i="18"/>
  <c r="P76" i="18"/>
  <c r="O76" i="18"/>
  <c r="N76" i="18"/>
  <c r="M76" i="18"/>
  <c r="L76" i="18"/>
  <c r="K76" i="18"/>
  <c r="J76" i="18"/>
  <c r="I76" i="18"/>
  <c r="H76" i="18"/>
  <c r="G76" i="18"/>
  <c r="F76" i="18"/>
  <c r="C76" i="18" s="1"/>
  <c r="E76" i="18"/>
  <c r="D76" i="18"/>
  <c r="B76" i="18"/>
  <c r="AB75" i="18"/>
  <c r="AA75" i="18"/>
  <c r="Z75" i="18"/>
  <c r="Y75" i="18"/>
  <c r="X75" i="18"/>
  <c r="W75" i="18"/>
  <c r="V75" i="18"/>
  <c r="U75" i="18"/>
  <c r="T75" i="18"/>
  <c r="E75" i="18" s="1"/>
  <c r="S75" i="18"/>
  <c r="R75" i="18"/>
  <c r="Q75" i="18"/>
  <c r="P75" i="18"/>
  <c r="O75" i="18"/>
  <c r="N75" i="18"/>
  <c r="M75" i="18"/>
  <c r="L75" i="18"/>
  <c r="K75" i="18"/>
  <c r="J75" i="18"/>
  <c r="I75" i="18"/>
  <c r="H75" i="18"/>
  <c r="G75" i="18"/>
  <c r="F75" i="18"/>
  <c r="D75" i="18"/>
  <c r="C75" i="18"/>
  <c r="B75" i="18"/>
  <c r="AB74" i="18"/>
  <c r="AA74" i="18"/>
  <c r="Z74" i="18"/>
  <c r="Y74" i="18"/>
  <c r="X74" i="18"/>
  <c r="W74" i="18"/>
  <c r="V74" i="18"/>
  <c r="E74" i="18" s="1"/>
  <c r="U74" i="18"/>
  <c r="T74" i="18"/>
  <c r="S74" i="18"/>
  <c r="R74" i="18"/>
  <c r="Q74" i="18"/>
  <c r="P74" i="18"/>
  <c r="O74" i="18"/>
  <c r="D74" i="18" s="1"/>
  <c r="N74" i="18"/>
  <c r="M74" i="18"/>
  <c r="L74" i="18"/>
  <c r="K74" i="18"/>
  <c r="J74" i="18"/>
  <c r="I74" i="18"/>
  <c r="H74" i="18"/>
  <c r="G74" i="18"/>
  <c r="F74" i="18"/>
  <c r="C74" i="18" s="1"/>
  <c r="B74" i="18"/>
  <c r="AB73" i="18"/>
  <c r="AA73" i="18"/>
  <c r="Z73" i="18"/>
  <c r="Y73" i="18"/>
  <c r="X73" i="18"/>
  <c r="W73" i="18"/>
  <c r="V73" i="18"/>
  <c r="U73" i="18"/>
  <c r="T73" i="18"/>
  <c r="S73" i="18"/>
  <c r="R73" i="18"/>
  <c r="Q73" i="18"/>
  <c r="P73" i="18"/>
  <c r="O73" i="18"/>
  <c r="N73" i="18"/>
  <c r="M73" i="18"/>
  <c r="L73" i="18"/>
  <c r="K73" i="18"/>
  <c r="J73" i="18"/>
  <c r="I73" i="18"/>
  <c r="H73" i="18"/>
  <c r="G73" i="18"/>
  <c r="F73" i="18"/>
  <c r="C73" i="18" s="1"/>
  <c r="E73" i="18"/>
  <c r="D73" i="18"/>
  <c r="B73" i="18"/>
  <c r="AB72" i="18"/>
  <c r="AB81" i="18" s="1"/>
  <c r="AA72" i="18"/>
  <c r="AA81" i="18" s="1"/>
  <c r="Z72" i="18"/>
  <c r="Z81" i="18" s="1"/>
  <c r="Y72" i="18"/>
  <c r="X72" i="18"/>
  <c r="X81" i="18" s="1"/>
  <c r="W72" i="18"/>
  <c r="W81" i="18" s="1"/>
  <c r="V72" i="18"/>
  <c r="V81" i="18" s="1"/>
  <c r="U72" i="18"/>
  <c r="U81" i="18" s="1"/>
  <c r="T72" i="18"/>
  <c r="T81" i="18" s="1"/>
  <c r="S72" i="18"/>
  <c r="S81" i="18" s="1"/>
  <c r="R72" i="18"/>
  <c r="R81" i="18" s="1"/>
  <c r="Q72" i="18"/>
  <c r="P72" i="18"/>
  <c r="P81" i="18" s="1"/>
  <c r="O72" i="18"/>
  <c r="O81" i="18" s="1"/>
  <c r="N72" i="18"/>
  <c r="M72" i="18"/>
  <c r="M81" i="18" s="1"/>
  <c r="L72" i="18"/>
  <c r="L81" i="18" s="1"/>
  <c r="K72" i="18"/>
  <c r="J72" i="18"/>
  <c r="J81" i="18" s="1"/>
  <c r="I72" i="18"/>
  <c r="I81" i="18" s="1"/>
  <c r="H72" i="18"/>
  <c r="H81" i="18" s="1"/>
  <c r="G72" i="18"/>
  <c r="G81" i="18" s="1"/>
  <c r="F72" i="18"/>
  <c r="F81" i="18" s="1"/>
  <c r="D72" i="18"/>
  <c r="D81" i="18" s="1"/>
  <c r="B72" i="18"/>
  <c r="T68" i="18"/>
  <c r="O68" i="18"/>
  <c r="I105" i="18" l="1"/>
  <c r="I121" i="18" s="1"/>
  <c r="I128" i="18" s="1"/>
  <c r="M105" i="18"/>
  <c r="M121" i="18" s="1"/>
  <c r="M128" i="18" s="1"/>
  <c r="Q105" i="18"/>
  <c r="Q121" i="18" s="1"/>
  <c r="Q128" i="18" s="1"/>
  <c r="U105" i="18"/>
  <c r="U121" i="18" s="1"/>
  <c r="U128" i="18" s="1"/>
  <c r="AA105" i="18"/>
  <c r="AA121" i="18" s="1"/>
  <c r="AA128" i="18" s="1"/>
  <c r="D108" i="18"/>
  <c r="D107" i="18" s="1"/>
  <c r="O107" i="18"/>
  <c r="E72" i="18"/>
  <c r="E81" i="18" s="1"/>
  <c r="E105" i="18" s="1"/>
  <c r="E121" i="18" s="1"/>
  <c r="E128" i="18" s="1"/>
  <c r="E85" i="18"/>
  <c r="Y105" i="18"/>
  <c r="Y121" i="18" s="1"/>
  <c r="Y128" i="18" s="1"/>
  <c r="K105" i="18"/>
  <c r="K121" i="18" s="1"/>
  <c r="K128" i="18" s="1"/>
  <c r="E108" i="18"/>
  <c r="E107" i="18" s="1"/>
  <c r="E113" i="18"/>
  <c r="E116" i="18"/>
  <c r="P105" i="18"/>
  <c r="P121" i="18" s="1"/>
  <c r="P128" i="18" s="1"/>
  <c r="X105" i="18"/>
  <c r="X121" i="18" s="1"/>
  <c r="X128" i="18" s="1"/>
  <c r="F87" i="18"/>
  <c r="C82" i="18"/>
  <c r="C87" i="18" s="1"/>
  <c r="F96" i="18"/>
  <c r="C88" i="18"/>
  <c r="C96" i="18" s="1"/>
  <c r="E91" i="18"/>
  <c r="F104" i="18"/>
  <c r="C97" i="18"/>
  <c r="C104" i="18" s="1"/>
  <c r="C105" i="18" s="1"/>
  <c r="C121" i="18" s="1"/>
  <c r="C128" i="18" s="1"/>
  <c r="D105" i="18"/>
  <c r="D121" i="18" s="1"/>
  <c r="D128" i="18" s="1"/>
  <c r="L105" i="18"/>
  <c r="L121" i="18" s="1"/>
  <c r="L128" i="18" s="1"/>
  <c r="T105" i="18"/>
  <c r="AB105" i="18"/>
  <c r="AB121" i="18" s="1"/>
  <c r="AB128" i="18" s="1"/>
  <c r="F107" i="18"/>
  <c r="H105" i="18"/>
  <c r="H121" i="18" s="1"/>
  <c r="H128" i="18" s="1"/>
  <c r="C72" i="18"/>
  <c r="C81" i="18" s="1"/>
  <c r="E98" i="18"/>
  <c r="G105" i="18"/>
  <c r="G121" i="18" s="1"/>
  <c r="G128" i="18" s="1"/>
  <c r="O105" i="18"/>
  <c r="E109" i="18"/>
  <c r="E112" i="18"/>
  <c r="E117" i="18"/>
  <c r="T107" i="18"/>
  <c r="T121" i="18" l="1"/>
  <c r="T128" i="18" s="1"/>
  <c r="F105" i="18"/>
  <c r="F121" i="18" s="1"/>
  <c r="F128" i="18" s="1"/>
  <c r="O121" i="18"/>
  <c r="O128" i="18" s="1"/>
  <c r="M64" i="18" l="1"/>
  <c r="M63" i="18"/>
  <c r="M62" i="18"/>
  <c r="M61" i="18"/>
  <c r="M60" i="18"/>
  <c r="M59" i="18"/>
  <c r="M58" i="18"/>
  <c r="M57" i="18"/>
  <c r="M56" i="18"/>
  <c r="M55" i="18"/>
  <c r="M54" i="18"/>
  <c r="M5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7" i="18"/>
  <c r="M6" i="18"/>
  <c r="M5" i="18"/>
  <c r="M3" i="18" s="1"/>
  <c r="M4" i="18"/>
  <c r="L3" i="18"/>
  <c r="K3" i="18"/>
  <c r="J3" i="18"/>
  <c r="I3" i="18"/>
  <c r="H3" i="18"/>
  <c r="G3" i="18"/>
  <c r="F3" i="18"/>
  <c r="E3" i="18"/>
  <c r="D3" i="18"/>
  <c r="C3" i="18"/>
  <c r="B3" i="18"/>
  <c r="A3" i="18"/>
  <c r="J1238" i="17"/>
  <c r="J1225" i="17"/>
  <c r="J1202" i="17"/>
  <c r="J1226" i="17" s="1"/>
  <c r="J1301" i="17" l="1"/>
  <c r="J1300" i="17" s="1"/>
  <c r="J1230" i="17"/>
  <c r="J1224" i="17"/>
  <c r="J1101" i="17"/>
  <c r="J1090" i="17" l="1"/>
  <c r="J1089" i="17"/>
  <c r="J1088" i="17"/>
  <c r="J1087" i="17"/>
  <c r="J1086" i="17"/>
  <c r="J1084" i="17"/>
  <c r="J1083" i="17"/>
  <c r="J1082" i="17"/>
  <c r="J1081" i="17"/>
  <c r="J1080" i="17"/>
  <c r="J1079" i="17"/>
  <c r="J1078" i="17"/>
  <c r="J1077" i="17"/>
  <c r="J1076" i="17"/>
  <c r="J1075" i="17"/>
  <c r="J1074" i="17"/>
  <c r="J1073" i="17"/>
  <c r="J1072" i="17"/>
  <c r="J1071" i="17"/>
  <c r="J1070" i="17"/>
  <c r="J1069" i="17"/>
  <c r="J1068" i="17"/>
  <c r="J1067" i="17"/>
  <c r="J1066" i="17"/>
  <c r="J1065" i="17"/>
  <c r="J1064" i="17"/>
  <c r="J1063" i="17"/>
  <c r="J1062" i="17"/>
  <c r="J1061" i="17"/>
  <c r="J1060" i="17"/>
  <c r="J1059" i="17"/>
  <c r="J1058" i="17"/>
  <c r="J1057" i="17"/>
  <c r="J1056" i="17"/>
  <c r="J1055" i="17"/>
  <c r="J1054" i="17"/>
  <c r="J1053" i="17"/>
  <c r="J1052" i="17"/>
  <c r="J1051" i="17"/>
  <c r="J1050" i="17"/>
  <c r="J1049" i="17"/>
  <c r="J1048" i="17"/>
  <c r="J1047" i="17"/>
  <c r="J1046" i="17"/>
  <c r="J1045" i="17"/>
  <c r="J1044" i="17"/>
  <c r="J1043" i="17"/>
  <c r="J1042" i="17"/>
  <c r="J1041" i="17"/>
  <c r="J1040" i="17"/>
  <c r="J1039" i="17"/>
  <c r="J1038" i="17"/>
  <c r="J1037" i="17"/>
  <c r="J1036" i="17"/>
  <c r="J1035" i="17"/>
  <c r="J1034" i="17"/>
  <c r="J1033" i="17"/>
  <c r="J1032" i="17"/>
  <c r="J1031" i="17"/>
  <c r="J1030" i="17"/>
  <c r="J1016" i="17"/>
  <c r="J1015" i="17"/>
  <c r="J1014" i="17" s="1"/>
  <c r="J970" i="17"/>
  <c r="J947" i="17"/>
  <c r="J1085" i="17" s="1"/>
  <c r="J891" i="17"/>
  <c r="J1029" i="17" l="1"/>
  <c r="J1092" i="17"/>
  <c r="J1091" i="17" s="1"/>
  <c r="J881" i="17" l="1"/>
  <c r="J880" i="17"/>
  <c r="J879" i="17"/>
  <c r="J878" i="17"/>
  <c r="J877" i="17"/>
  <c r="J820" i="17" s="1"/>
  <c r="J883" i="17" s="1"/>
  <c r="J882" i="17" s="1"/>
  <c r="J876" i="17"/>
  <c r="J875" i="17"/>
  <c r="J874" i="17"/>
  <c r="J873" i="17"/>
  <c r="J872" i="17"/>
  <c r="J871" i="17"/>
  <c r="J870" i="17"/>
  <c r="J869" i="17"/>
  <c r="J868" i="17"/>
  <c r="J867" i="17"/>
  <c r="J866" i="17"/>
  <c r="J865" i="17"/>
  <c r="J864" i="17"/>
  <c r="J863" i="17"/>
  <c r="J862" i="17"/>
  <c r="J861" i="17"/>
  <c r="J860" i="17"/>
  <c r="J859" i="17"/>
  <c r="J858" i="17"/>
  <c r="J857" i="17"/>
  <c r="J856" i="17"/>
  <c r="J855" i="17"/>
  <c r="J854" i="17"/>
  <c r="J853" i="17"/>
  <c r="J852" i="17"/>
  <c r="J851" i="17"/>
  <c r="J850" i="17"/>
  <c r="J849" i="17"/>
  <c r="J848" i="17"/>
  <c r="J847" i="17"/>
  <c r="J846" i="17"/>
  <c r="J845" i="17"/>
  <c r="J844" i="17"/>
  <c r="J843" i="17"/>
  <c r="J842" i="17"/>
  <c r="J841" i="17"/>
  <c r="J840" i="17"/>
  <c r="J839" i="17"/>
  <c r="J838" i="17"/>
  <c r="J837" i="17"/>
  <c r="J836" i="17"/>
  <c r="J835" i="17"/>
  <c r="J834" i="17"/>
  <c r="J833" i="17"/>
  <c r="J832" i="17"/>
  <c r="J831" i="17"/>
  <c r="J830" i="17"/>
  <c r="J829" i="17"/>
  <c r="J828" i="17"/>
  <c r="J827" i="17"/>
  <c r="J826" i="17"/>
  <c r="J825" i="17"/>
  <c r="J824" i="17"/>
  <c r="J823" i="17"/>
  <c r="J822" i="17"/>
  <c r="J821" i="17"/>
  <c r="J814" i="17"/>
  <c r="J813" i="17"/>
  <c r="J812" i="17"/>
  <c r="J689" i="17"/>
  <c r="N637" i="17" l="1"/>
  <c r="N618" i="17" s="1"/>
  <c r="N681" i="17" s="1"/>
  <c r="N680" i="17" s="1"/>
  <c r="M562" i="17"/>
  <c r="M607" i="17" s="1"/>
  <c r="M501" i="17"/>
  <c r="M606" i="17" s="1"/>
  <c r="M605" i="17" s="1"/>
  <c r="M482" i="17" l="1"/>
  <c r="K404" i="17"/>
  <c r="K395" i="17"/>
  <c r="K394" i="17"/>
  <c r="K393" i="17" s="1"/>
  <c r="K467" i="17" s="1"/>
  <c r="K466" i="17" s="1"/>
  <c r="M392" i="17"/>
  <c r="M391" i="17"/>
  <c r="M390" i="17"/>
  <c r="M389" i="17"/>
  <c r="M388" i="17"/>
  <c r="M387" i="17"/>
  <c r="M386" i="17"/>
  <c r="M385" i="17"/>
  <c r="M384" i="17"/>
  <c r="M383" i="17"/>
  <c r="M382" i="17"/>
  <c r="M381" i="17"/>
  <c r="M380" i="17"/>
  <c r="M379" i="17"/>
  <c r="M378" i="17"/>
  <c r="M377" i="17"/>
  <c r="M376" i="17"/>
  <c r="M375" i="17"/>
  <c r="M374" i="17"/>
  <c r="M373" i="17"/>
  <c r="M372" i="17"/>
  <c r="M371" i="17"/>
  <c r="M370" i="17"/>
  <c r="M369" i="17"/>
  <c r="M368" i="17"/>
  <c r="M367" i="17"/>
  <c r="M366" i="17"/>
  <c r="M365" i="17"/>
  <c r="M364" i="17"/>
  <c r="M363" i="17"/>
  <c r="M362" i="17"/>
  <c r="M361" i="17"/>
  <c r="M360" i="17"/>
  <c r="M359" i="17"/>
  <c r="M358" i="17"/>
  <c r="M357" i="17"/>
  <c r="M356" i="17"/>
  <c r="M355" i="17"/>
  <c r="M354" i="17"/>
  <c r="M353" i="17"/>
  <c r="M352" i="17"/>
  <c r="M351" i="17"/>
  <c r="M350" i="17"/>
  <c r="M349" i="17"/>
  <c r="M348" i="17"/>
  <c r="M347" i="17"/>
  <c r="M346" i="17"/>
  <c r="M345" i="17"/>
  <c r="M344" i="17"/>
  <c r="M343" i="17"/>
  <c r="M342" i="17"/>
  <c r="M341" i="17"/>
  <c r="M340" i="17"/>
  <c r="M339" i="17"/>
  <c r="M338" i="17"/>
  <c r="M337" i="17"/>
  <c r="M336" i="17"/>
  <c r="M335" i="17"/>
  <c r="M334" i="17"/>
  <c r="M333" i="17"/>
  <c r="M332" i="17"/>
  <c r="M331" i="17"/>
  <c r="M330" i="17"/>
  <c r="M329" i="17"/>
  <c r="M328" i="17"/>
  <c r="M327"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M292" i="17"/>
  <c r="M291" i="17"/>
  <c r="M290" i="17"/>
  <c r="M289" i="17"/>
  <c r="M288" i="17"/>
  <c r="M287" i="17"/>
  <c r="M286" i="17"/>
  <c r="M285" i="17"/>
  <c r="M284" i="17"/>
  <c r="M283" i="17"/>
  <c r="M282" i="17"/>
  <c r="M281" i="17"/>
  <c r="M280" i="17"/>
  <c r="M279" i="17"/>
  <c r="M278" i="17"/>
  <c r="M277" i="17"/>
  <c r="M276" i="17"/>
  <c r="M275" i="17"/>
  <c r="M274" i="17"/>
  <c r="M273" i="17"/>
  <c r="M272" i="17"/>
  <c r="M271" i="17"/>
  <c r="K270" i="17"/>
  <c r="M5" i="17" l="1"/>
  <c r="P837" i="16"/>
  <c r="L837" i="16"/>
  <c r="P824" i="16"/>
  <c r="L824" i="16"/>
  <c r="P808" i="16"/>
  <c r="L808" i="16"/>
  <c r="P783" i="16"/>
  <c r="L783" i="16"/>
  <c r="P770" i="16"/>
  <c r="L770" i="16"/>
  <c r="P756" i="16"/>
  <c r="L756" i="16"/>
  <c r="P743" i="16"/>
  <c r="L743" i="16"/>
  <c r="P727" i="16"/>
  <c r="L727" i="16"/>
  <c r="P714" i="16"/>
  <c r="L714" i="16"/>
  <c r="P696" i="16"/>
  <c r="L696" i="16"/>
  <c r="K672" i="16"/>
  <c r="O662" i="16"/>
  <c r="O672" i="16" s="1"/>
  <c r="N645" i="16"/>
  <c r="J645" i="16"/>
  <c r="N613" i="16"/>
  <c r="J613" i="16"/>
  <c r="N589" i="16"/>
  <c r="J589" i="16"/>
  <c r="N557" i="16"/>
  <c r="J557" i="16"/>
  <c r="N528" i="16"/>
  <c r="J528" i="16"/>
  <c r="M506" i="16"/>
  <c r="I506" i="16"/>
  <c r="M486" i="16"/>
  <c r="I486" i="16"/>
  <c r="M459" i="16"/>
  <c r="I459" i="16"/>
  <c r="M439" i="16"/>
  <c r="I439" i="16"/>
  <c r="M413" i="16"/>
  <c r="I413" i="16"/>
  <c r="M398" i="16"/>
  <c r="I398" i="16"/>
  <c r="M368" i="16"/>
  <c r="I368" i="16"/>
  <c r="K367" i="16"/>
  <c r="K366" i="16"/>
  <c r="M338" i="16"/>
  <c r="I338" i="16"/>
  <c r="L298" i="16"/>
  <c r="H298" i="16"/>
  <c r="L282" i="16"/>
  <c r="H282" i="16"/>
  <c r="L261" i="16"/>
  <c r="H261" i="16"/>
  <c r="L247" i="16"/>
  <c r="H247" i="16"/>
  <c r="L236" i="16"/>
  <c r="H236" i="16"/>
  <c r="L214" i="16"/>
  <c r="H214" i="16"/>
  <c r="L185" i="16"/>
  <c r="H185" i="16"/>
  <c r="L167" i="16"/>
  <c r="H167" i="16"/>
  <c r="L135" i="16"/>
  <c r="H135" i="16"/>
  <c r="L116" i="16"/>
  <c r="H116" i="16"/>
  <c r="L102" i="16"/>
  <c r="H102" i="16"/>
  <c r="L66" i="16"/>
  <c r="H66" i="16"/>
  <c r="L25" i="16"/>
  <c r="H25" i="16"/>
  <c r="O95" i="15" l="1"/>
  <c r="I94" i="15"/>
  <c r="Q94" i="15" s="1"/>
  <c r="I93" i="15"/>
  <c r="I91" i="15"/>
  <c r="Q91" i="15" s="1"/>
  <c r="G91" i="15"/>
  <c r="M90" i="15"/>
  <c r="I90" i="15"/>
  <c r="G90" i="15" s="1"/>
  <c r="Q89" i="15"/>
  <c r="M89" i="15"/>
  <c r="M92" i="15" s="1"/>
  <c r="Q92" i="15" s="1"/>
  <c r="I89" i="15"/>
  <c r="G89" i="15" s="1"/>
  <c r="P88" i="15"/>
  <c r="P95" i="15" s="1"/>
  <c r="L88" i="15"/>
  <c r="L95" i="15" s="1"/>
  <c r="J88" i="15"/>
  <c r="J95" i="15" s="1"/>
  <c r="G88" i="15"/>
  <c r="Q87" i="15"/>
  <c r="Q86" i="15"/>
  <c r="Q85" i="15"/>
  <c r="Q84" i="15"/>
  <c r="Q83" i="15"/>
  <c r="Q88" i="15" s="1"/>
  <c r="N83" i="15"/>
  <c r="N88" i="15" s="1"/>
  <c r="N95" i="15" s="1"/>
  <c r="M83" i="15"/>
  <c r="M88" i="15" s="1"/>
  <c r="I83" i="15"/>
  <c r="I88" i="15" s="1"/>
  <c r="H82" i="15"/>
  <c r="G82" i="15"/>
  <c r="I81" i="15"/>
  <c r="M81" i="15" s="1"/>
  <c r="M80" i="15"/>
  <c r="I80" i="15"/>
  <c r="I82" i="15" s="1"/>
  <c r="G80" i="15"/>
  <c r="I78" i="15"/>
  <c r="Q78" i="15" s="1"/>
  <c r="G78" i="15"/>
  <c r="E66" i="15"/>
  <c r="E65" i="15"/>
  <c r="E64" i="15"/>
  <c r="D64" i="15"/>
  <c r="E63" i="15"/>
  <c r="E62" i="15"/>
  <c r="E59" i="15"/>
  <c r="E67" i="15" s="1"/>
  <c r="E68" i="15" s="1"/>
  <c r="E57" i="15"/>
  <c r="E56" i="15"/>
  <c r="E55" i="15"/>
  <c r="D55" i="15"/>
  <c r="D67" i="15" s="1"/>
  <c r="D68" i="15" s="1"/>
  <c r="E53" i="15"/>
  <c r="E52" i="15"/>
  <c r="C52" i="15"/>
  <c r="C68" i="15" s="1"/>
  <c r="D45" i="15"/>
  <c r="D43" i="15"/>
  <c r="D42" i="15"/>
  <c r="M82" i="15" l="1"/>
  <c r="M95" i="15" s="1"/>
  <c r="I95" i="15"/>
  <c r="Q80" i="15"/>
  <c r="J75" i="14"/>
  <c r="Q75" i="14" s="1"/>
  <c r="N74" i="14"/>
  <c r="J74" i="14" s="1"/>
  <c r="I74" i="14"/>
  <c r="N73" i="14"/>
  <c r="N76" i="14" s="1"/>
  <c r="Q76" i="14" s="1"/>
  <c r="J73" i="14"/>
  <c r="I73" i="14"/>
  <c r="P72" i="14"/>
  <c r="P77" i="14" s="1"/>
  <c r="O72" i="14"/>
  <c r="O77" i="14" s="1"/>
  <c r="N72" i="14"/>
  <c r="M72" i="14"/>
  <c r="M77" i="14" s="1"/>
  <c r="K72" i="14"/>
  <c r="K77" i="14" s="1"/>
  <c r="I72" i="14"/>
  <c r="Q71" i="14"/>
  <c r="J71" i="14"/>
  <c r="J72" i="14" s="1"/>
  <c r="Q70" i="14"/>
  <c r="Q69" i="14"/>
  <c r="Q68" i="14"/>
  <c r="Q67" i="14"/>
  <c r="Q72" i="14" s="1"/>
  <c r="H67" i="14"/>
  <c r="H72" i="14" s="1"/>
  <c r="I66" i="14"/>
  <c r="H66" i="14"/>
  <c r="N65" i="14"/>
  <c r="N66" i="14" s="1"/>
  <c r="N77" i="14" s="1"/>
  <c r="J65" i="14"/>
  <c r="N64" i="14"/>
  <c r="J64" i="14"/>
  <c r="J66" i="14" s="1"/>
  <c r="Q82" i="15" l="1"/>
  <c r="Q95" i="15" s="1"/>
  <c r="J77" i="14"/>
  <c r="Q66" i="14"/>
  <c r="Q73" i="14"/>
  <c r="Q64" i="14"/>
  <c r="Q77" i="14" l="1"/>
  <c r="J49" i="14"/>
  <c r="Q49" i="14" s="1"/>
  <c r="N48" i="14"/>
  <c r="J48" i="14" s="1"/>
  <c r="I48" i="14"/>
  <c r="N47" i="14"/>
  <c r="N50" i="14" s="1"/>
  <c r="Q50" i="14" s="1"/>
  <c r="J47" i="14"/>
  <c r="I47" i="14"/>
  <c r="P46" i="14"/>
  <c r="P51" i="14" s="1"/>
  <c r="O46" i="14"/>
  <c r="O51" i="14" s="1"/>
  <c r="N46" i="14"/>
  <c r="M46" i="14"/>
  <c r="M51" i="14" s="1"/>
  <c r="K46" i="14"/>
  <c r="K51" i="14" s="1"/>
  <c r="I46" i="14"/>
  <c r="Q45" i="14"/>
  <c r="J45" i="14"/>
  <c r="J46" i="14" s="1"/>
  <c r="Q44" i="14"/>
  <c r="Q43" i="14"/>
  <c r="Q42" i="14"/>
  <c r="Q41" i="14"/>
  <c r="Q46" i="14" s="1"/>
  <c r="H41" i="14"/>
  <c r="H46" i="14" s="1"/>
  <c r="I40" i="14"/>
  <c r="H40" i="14"/>
  <c r="N39" i="14"/>
  <c r="N40" i="14" s="1"/>
  <c r="N51" i="14" s="1"/>
  <c r="J39" i="14"/>
  <c r="N38" i="14"/>
  <c r="J38" i="14"/>
  <c r="J40" i="14" s="1"/>
  <c r="J51" i="14" l="1"/>
  <c r="Q40" i="14"/>
  <c r="Q47" i="14"/>
  <c r="Q38" i="14"/>
  <c r="Q51" i="14" l="1"/>
  <c r="O12" i="14"/>
  <c r="M1296" i="10"/>
  <c r="M1295" i="10"/>
  <c r="M1284" i="10" s="1"/>
  <c r="L1277" i="10"/>
  <c r="M1311" i="10"/>
  <c r="M1350" i="10"/>
  <c r="M1345" i="10"/>
  <c r="L1345" i="10"/>
  <c r="K1345" i="10"/>
  <c r="M1342" i="10"/>
  <c r="L1342" i="10"/>
  <c r="K1342" i="10"/>
  <c r="K1276" i="10" s="1"/>
  <c r="M1335" i="10"/>
  <c r="L1335" i="10"/>
  <c r="K1335" i="10"/>
  <c r="M1329" i="10"/>
  <c r="L1329" i="10"/>
  <c r="K1329" i="10"/>
  <c r="M1328" i="10"/>
  <c r="M1323" i="10"/>
  <c r="M1320" i="10" s="1"/>
  <c r="L1320" i="10"/>
  <c r="K1320" i="10"/>
  <c r="M1318" i="10"/>
  <c r="M1317" i="10" s="1"/>
  <c r="L1317" i="10"/>
  <c r="K1317" i="10"/>
  <c r="M1315" i="10"/>
  <c r="M1312" i="10" s="1"/>
  <c r="L1312" i="10"/>
  <c r="K1312" i="10"/>
  <c r="M1300" i="10"/>
  <c r="L1300" i="10"/>
  <c r="L1297" i="10"/>
  <c r="K1297" i="10"/>
  <c r="L1284" i="10"/>
  <c r="K1284" i="10"/>
  <c r="M1277" i="10"/>
  <c r="K1274" i="10"/>
  <c r="K1273" i="10"/>
  <c r="M1273" i="10"/>
  <c r="L1273" i="10"/>
  <c r="M1259" i="10"/>
  <c r="K1259" i="10"/>
  <c r="K1258" i="10" s="1"/>
  <c r="M1258" i="10"/>
  <c r="L1258" i="10"/>
  <c r="L1252" i="10"/>
  <c r="K1252" i="10"/>
  <c r="L5" i="6"/>
  <c r="M1191" i="10"/>
  <c r="M1215" i="10"/>
  <c r="M1211" i="10" s="1"/>
  <c r="N1173" i="10"/>
  <c r="N1174" i="10"/>
  <c r="M1174" i="10"/>
  <c r="N1175" i="10"/>
  <c r="N1176" i="10"/>
  <c r="N1177" i="10"/>
  <c r="M1177" i="10"/>
  <c r="M1176" i="10"/>
  <c r="N1178" i="10"/>
  <c r="N1179" i="10"/>
  <c r="M1179" i="10" s="1"/>
  <c r="N1180" i="10"/>
  <c r="N1181" i="10"/>
  <c r="N1182" i="10"/>
  <c r="N1183" i="10"/>
  <c r="M1183" i="10"/>
  <c r="N1184" i="10"/>
  <c r="N1185" i="10"/>
  <c r="N1186" i="10"/>
  <c r="N1187" i="10"/>
  <c r="N1188" i="10"/>
  <c r="N1189" i="10"/>
  <c r="M1189" i="10" s="1"/>
  <c r="M1188" i="10" s="1"/>
  <c r="N1190" i="10"/>
  <c r="N1191" i="10"/>
  <c r="N1192" i="10"/>
  <c r="N1193" i="10"/>
  <c r="N1194" i="10"/>
  <c r="N1195" i="10"/>
  <c r="N1196" i="10"/>
  <c r="N1197" i="10"/>
  <c r="N1198" i="10"/>
  <c r="N1199" i="10"/>
  <c r="N1200" i="10"/>
  <c r="N1201" i="10"/>
  <c r="N1202" i="10"/>
  <c r="N1203" i="10"/>
  <c r="N1204" i="10"/>
  <c r="N1205" i="10"/>
  <c r="N1206" i="10"/>
  <c r="N1207" i="10"/>
  <c r="N1208" i="10"/>
  <c r="N1209" i="10"/>
  <c r="N1210" i="10"/>
  <c r="N1211" i="10"/>
  <c r="N1212" i="10"/>
  <c r="N1213" i="10"/>
  <c r="N1214" i="10"/>
  <c r="N1215" i="10"/>
  <c r="N1216" i="10"/>
  <c r="N1217" i="10"/>
  <c r="N1218" i="10"/>
  <c r="N1219" i="10"/>
  <c r="N1220" i="10"/>
  <c r="N1221" i="10"/>
  <c r="N1222" i="10"/>
  <c r="N1223" i="10"/>
  <c r="N1224" i="10"/>
  <c r="N1225" i="10"/>
  <c r="N1226" i="10"/>
  <c r="N1227" i="10"/>
  <c r="N1172" i="10"/>
  <c r="M1172" i="10"/>
  <c r="M1160" i="10"/>
  <c r="N1150" i="10"/>
  <c r="N1151" i="10"/>
  <c r="N1137" i="10"/>
  <c r="N1138" i="10"/>
  <c r="N1139" i="10"/>
  <c r="N1140" i="10"/>
  <c r="N1136" i="10"/>
  <c r="O1141" i="10"/>
  <c r="M927" i="10"/>
  <c r="M1052" i="10"/>
  <c r="M1226" i="10"/>
  <c r="M1221" i="10"/>
  <c r="L1221" i="10"/>
  <c r="K1221" i="10"/>
  <c r="M1218" i="10"/>
  <c r="L1218" i="10"/>
  <c r="K1218" i="10"/>
  <c r="L1211" i="10"/>
  <c r="K1211" i="10"/>
  <c r="M1205" i="10"/>
  <c r="L1205" i="10"/>
  <c r="K1205" i="10"/>
  <c r="M1204" i="10"/>
  <c r="M1199" i="10"/>
  <c r="M1196" i="10" s="1"/>
  <c r="L1196" i="10"/>
  <c r="K1196" i="10"/>
  <c r="M1194" i="10"/>
  <c r="M1193" i="10" s="1"/>
  <c r="L1193" i="10"/>
  <c r="K1193" i="10"/>
  <c r="L1188" i="10"/>
  <c r="K1188" i="10"/>
  <c r="L1176" i="10"/>
  <c r="L1173" i="10" s="1"/>
  <c r="K1173" i="10"/>
  <c r="L1160" i="10"/>
  <c r="K1160" i="10"/>
  <c r="M1153" i="10"/>
  <c r="K1150" i="10"/>
  <c r="K1149" i="10"/>
  <c r="M1149" i="10"/>
  <c r="L1149" i="10"/>
  <c r="M1135" i="10"/>
  <c r="K1135" i="10"/>
  <c r="K1134" i="10" s="1"/>
  <c r="M1134" i="10"/>
  <c r="L1134" i="10"/>
  <c r="L1128" i="10"/>
  <c r="K1128" i="10"/>
  <c r="M1018" i="10"/>
  <c r="O1018" i="10" s="1"/>
  <c r="M1072" i="10"/>
  <c r="M1093" i="10"/>
  <c r="M1089" i="10" s="1"/>
  <c r="M1104" i="10"/>
  <c r="O1015" i="10"/>
  <c r="O1016" i="10"/>
  <c r="O1017" i="10"/>
  <c r="O1014" i="10"/>
  <c r="N1019" i="10"/>
  <c r="K6" i="6"/>
  <c r="K15" i="6" s="1"/>
  <c r="K5" i="6"/>
  <c r="M1099" i="10"/>
  <c r="L1099" i="10"/>
  <c r="K1099" i="10"/>
  <c r="M1096" i="10"/>
  <c r="L1096" i="10"/>
  <c r="K1096" i="10"/>
  <c r="L1089" i="10"/>
  <c r="K1089" i="10"/>
  <c r="M1083" i="10"/>
  <c r="L1083" i="10"/>
  <c r="K1083" i="10"/>
  <c r="M1082" i="10"/>
  <c r="M1077" i="10"/>
  <c r="M1074" i="10" s="1"/>
  <c r="L1074" i="10"/>
  <c r="K1074" i="10"/>
  <c r="M1071" i="10"/>
  <c r="L1071" i="10"/>
  <c r="K1071" i="10"/>
  <c r="M1066" i="10"/>
  <c r="L1066" i="10"/>
  <c r="K1066" i="10"/>
  <c r="M1054" i="10"/>
  <c r="L1054" i="10"/>
  <c r="L1051" i="10"/>
  <c r="K1051" i="10"/>
  <c r="M1038" i="10"/>
  <c r="L1038" i="10"/>
  <c r="K1038" i="10"/>
  <c r="K1030" i="10" s="1"/>
  <c r="M1031" i="10"/>
  <c r="N1029" i="10"/>
  <c r="K1028" i="10"/>
  <c r="K1027" i="10" s="1"/>
  <c r="M1027" i="10"/>
  <c r="O1046" i="10"/>
  <c r="L1027" i="10"/>
  <c r="M1013" i="10"/>
  <c r="M1012" i="10" s="1"/>
  <c r="O1010" i="10" s="1"/>
  <c r="K1013" i="10"/>
  <c r="K1012" i="10" s="1"/>
  <c r="L1012" i="10"/>
  <c r="L1006" i="10"/>
  <c r="K1006" i="10"/>
  <c r="K903" i="10"/>
  <c r="K888" i="10"/>
  <c r="F6" i="13"/>
  <c r="F5" i="13"/>
  <c r="H4" i="13"/>
  <c r="I22" i="13"/>
  <c r="I24" i="13"/>
  <c r="I26" i="13"/>
  <c r="I41" i="13"/>
  <c r="I34" i="13"/>
  <c r="F39" i="13"/>
  <c r="J10" i="13"/>
  <c r="G45" i="13"/>
  <c r="J40" i="13"/>
  <c r="H58" i="11"/>
  <c r="G58" i="11"/>
  <c r="F58" i="11"/>
  <c r="E58" i="11"/>
  <c r="I52" i="11"/>
  <c r="I58" i="11" s="1"/>
  <c r="G51" i="11"/>
  <c r="H47" i="11"/>
  <c r="G46" i="11"/>
  <c r="I43" i="11"/>
  <c r="H43" i="11"/>
  <c r="G43" i="11"/>
  <c r="M904" i="10"/>
  <c r="M903" i="10"/>
  <c r="N904" i="10"/>
  <c r="M907" i="10"/>
  <c r="M906" i="10" s="1"/>
  <c r="M905" i="10" s="1"/>
  <c r="M889" i="10"/>
  <c r="M846" i="10"/>
  <c r="M803" i="10"/>
  <c r="O858" i="10"/>
  <c r="O860" i="10" s="1"/>
  <c r="O851" i="10"/>
  <c r="G28" i="11"/>
  <c r="I22" i="11"/>
  <c r="I28" i="11" s="1"/>
  <c r="H17" i="11"/>
  <c r="M974" i="10"/>
  <c r="L974" i="10"/>
  <c r="K974" i="10"/>
  <c r="M971" i="10"/>
  <c r="L971" i="10"/>
  <c r="K971" i="10"/>
  <c r="M964" i="10"/>
  <c r="L964" i="10"/>
  <c r="K964" i="10"/>
  <c r="M958" i="10"/>
  <c r="L958" i="10"/>
  <c r="K958" i="10"/>
  <c r="M957" i="10"/>
  <c r="M952" i="10"/>
  <c r="M949" i="10" s="1"/>
  <c r="L949" i="10"/>
  <c r="K949" i="10"/>
  <c r="M946" i="10"/>
  <c r="L946" i="10"/>
  <c r="K946" i="10"/>
  <c r="M941" i="10"/>
  <c r="L941" i="10"/>
  <c r="K941" i="10"/>
  <c r="M929" i="10"/>
  <c r="M926" i="10"/>
  <c r="L929" i="10"/>
  <c r="L926" i="10" s="1"/>
  <c r="K926" i="10"/>
  <c r="M913" i="10"/>
  <c r="L913" i="10"/>
  <c r="K913" i="10"/>
  <c r="M911" i="10"/>
  <c r="M909" i="10"/>
  <c r="M902" i="10"/>
  <c r="O921" i="10" s="1"/>
  <c r="O922" i="10" s="1"/>
  <c r="L902" i="10"/>
  <c r="M888" i="10"/>
  <c r="M887" i="10" s="1"/>
  <c r="L887" i="10"/>
  <c r="K887" i="10"/>
  <c r="L881" i="10"/>
  <c r="K881" i="10"/>
  <c r="J8" i="6"/>
  <c r="G8" i="6"/>
  <c r="O771" i="10"/>
  <c r="M789" i="10"/>
  <c r="M808" i="10"/>
  <c r="M807" i="10" s="1"/>
  <c r="M805" i="10"/>
  <c r="M804" i="10" s="1"/>
  <c r="M783" i="10" s="1"/>
  <c r="M764" i="10" s="1"/>
  <c r="M821" i="10"/>
  <c r="M810" i="10"/>
  <c r="M820" i="10"/>
  <c r="M814" i="10"/>
  <c r="P784" i="10"/>
  <c r="O790" i="10"/>
  <c r="O784" i="10"/>
  <c r="M852" i="10"/>
  <c r="L852" i="10"/>
  <c r="K852" i="10"/>
  <c r="M849" i="10"/>
  <c r="L849" i="10"/>
  <c r="K849" i="10"/>
  <c r="M842" i="10"/>
  <c r="L842" i="10"/>
  <c r="K842" i="10"/>
  <c r="M836" i="10"/>
  <c r="L836" i="10"/>
  <c r="K836" i="10"/>
  <c r="M835" i="10"/>
  <c r="M830" i="10"/>
  <c r="L827" i="10"/>
  <c r="K827" i="10"/>
  <c r="M824" i="10"/>
  <c r="L824" i="10"/>
  <c r="K824" i="10"/>
  <c r="M819" i="10"/>
  <c r="L819" i="10"/>
  <c r="K819" i="10"/>
  <c r="L807" i="10"/>
  <c r="L804" i="10" s="1"/>
  <c r="K804" i="10"/>
  <c r="M791" i="10"/>
  <c r="L791" i="10"/>
  <c r="K791" i="10"/>
  <c r="M787" i="10"/>
  <c r="M784" i="10"/>
  <c r="M780" i="10"/>
  <c r="L780" i="10"/>
  <c r="M766" i="10"/>
  <c r="M765" i="10" s="1"/>
  <c r="L765" i="10"/>
  <c r="K765" i="10"/>
  <c r="L759" i="10"/>
  <c r="K759" i="10"/>
  <c r="O648" i="10"/>
  <c r="M612" i="10"/>
  <c r="M601" i="10"/>
  <c r="M597" i="10" s="1"/>
  <c r="M525" i="10"/>
  <c r="M685" i="10"/>
  <c r="M684" i="10" s="1"/>
  <c r="M681" i="10" s="1"/>
  <c r="O661" i="10"/>
  <c r="N734" i="10"/>
  <c r="M729" i="10"/>
  <c r="L729" i="10"/>
  <c r="K729" i="10"/>
  <c r="M726" i="10"/>
  <c r="L726" i="10"/>
  <c r="K726" i="10"/>
  <c r="M719" i="10"/>
  <c r="L719" i="10"/>
  <c r="K719" i="10"/>
  <c r="M713" i="10"/>
  <c r="L713" i="10"/>
  <c r="K713" i="10"/>
  <c r="M712" i="10"/>
  <c r="M707" i="10"/>
  <c r="M704" i="10"/>
  <c r="L704" i="10"/>
  <c r="K704" i="10"/>
  <c r="M701" i="10"/>
  <c r="L701" i="10"/>
  <c r="K701" i="10"/>
  <c r="M696" i="10"/>
  <c r="L696" i="10"/>
  <c r="K696" i="10"/>
  <c r="L684" i="10"/>
  <c r="L681" i="10"/>
  <c r="K681" i="10"/>
  <c r="M680" i="10"/>
  <c r="M668" i="10"/>
  <c r="L668" i="10"/>
  <c r="K668" i="10"/>
  <c r="K660" i="10" s="1"/>
  <c r="M664" i="10"/>
  <c r="M661" i="10"/>
  <c r="M660" i="10" s="1"/>
  <c r="M657" i="10"/>
  <c r="L657" i="10"/>
  <c r="M643" i="10"/>
  <c r="M642" i="10" s="1"/>
  <c r="L642" i="10"/>
  <c r="K642" i="10"/>
  <c r="L636" i="10"/>
  <c r="K636" i="10"/>
  <c r="M558" i="10"/>
  <c r="M542" i="10"/>
  <c r="M539" i="10"/>
  <c r="M590" i="10"/>
  <c r="M585" i="10"/>
  <c r="M565" i="10"/>
  <c r="M563" i="10"/>
  <c r="M562" i="10" s="1"/>
  <c r="M559" i="10" s="1"/>
  <c r="N612" i="10"/>
  <c r="M607" i="10"/>
  <c r="L607" i="10"/>
  <c r="K607" i="10"/>
  <c r="M604" i="10"/>
  <c r="L604" i="10"/>
  <c r="K604" i="10"/>
  <c r="L597" i="10"/>
  <c r="K597" i="10"/>
  <c r="M591" i="10"/>
  <c r="L591" i="10"/>
  <c r="K591" i="10"/>
  <c r="M582" i="10"/>
  <c r="L582" i="10"/>
  <c r="K582" i="10"/>
  <c r="M579" i="10"/>
  <c r="L579" i="10"/>
  <c r="K579" i="10"/>
  <c r="M574" i="10"/>
  <c r="L574" i="10"/>
  <c r="K574" i="10"/>
  <c r="L562" i="10"/>
  <c r="L559" i="10" s="1"/>
  <c r="K559" i="10"/>
  <c r="M546" i="10"/>
  <c r="L546" i="10"/>
  <c r="K546" i="10"/>
  <c r="M535" i="10"/>
  <c r="L535" i="10"/>
  <c r="M521" i="10"/>
  <c r="M520" i="10"/>
  <c r="L520" i="10"/>
  <c r="K520" i="10"/>
  <c r="L514" i="10"/>
  <c r="K514" i="10"/>
  <c r="O436" i="10"/>
  <c r="O423" i="10"/>
  <c r="N477" i="10"/>
  <c r="M472" i="10"/>
  <c r="L472" i="10"/>
  <c r="K472" i="10"/>
  <c r="M469" i="10"/>
  <c r="L469" i="10"/>
  <c r="K469" i="10"/>
  <c r="M462" i="10"/>
  <c r="L462" i="10"/>
  <c r="K462" i="10"/>
  <c r="M456" i="10"/>
  <c r="L456" i="10"/>
  <c r="K456" i="10"/>
  <c r="M447" i="10"/>
  <c r="L447" i="10"/>
  <c r="K447" i="10"/>
  <c r="M444" i="10"/>
  <c r="L444" i="10"/>
  <c r="K444" i="10"/>
  <c r="M439" i="10"/>
  <c r="L439" i="10"/>
  <c r="K439" i="10"/>
  <c r="K403" i="10" s="1"/>
  <c r="M427" i="10"/>
  <c r="L427" i="10"/>
  <c r="M424" i="10"/>
  <c r="L424" i="10"/>
  <c r="K424" i="10"/>
  <c r="M411" i="10"/>
  <c r="L411" i="10"/>
  <c r="L403" i="10"/>
  <c r="K411" i="10"/>
  <c r="M404" i="10"/>
  <c r="M400" i="10"/>
  <c r="L400" i="10"/>
  <c r="M386" i="10"/>
  <c r="M385" i="10"/>
  <c r="L385" i="10"/>
  <c r="K385" i="10"/>
  <c r="K384" i="10" s="1"/>
  <c r="L379" i="10"/>
  <c r="K379" i="10"/>
  <c r="P257" i="10"/>
  <c r="M304" i="10"/>
  <c r="M301" i="10"/>
  <c r="N354" i="10"/>
  <c r="K256" i="10"/>
  <c r="L256" i="10"/>
  <c r="K262" i="10"/>
  <c r="L262" i="10"/>
  <c r="M263" i="10"/>
  <c r="M262" i="10" s="1"/>
  <c r="L277" i="10"/>
  <c r="M277" i="10"/>
  <c r="M281" i="10"/>
  <c r="K288" i="10"/>
  <c r="L288" i="10"/>
  <c r="M288" i="10"/>
  <c r="K301" i="10"/>
  <c r="L304" i="10"/>
  <c r="L301" i="10"/>
  <c r="K316" i="10"/>
  <c r="L316" i="10"/>
  <c r="M316" i="10"/>
  <c r="K321" i="10"/>
  <c r="L321" i="10"/>
  <c r="M321" i="10"/>
  <c r="K324" i="10"/>
  <c r="L324" i="10"/>
  <c r="M324" i="10"/>
  <c r="K333" i="10"/>
  <c r="L333" i="10"/>
  <c r="M333" i="10"/>
  <c r="K339" i="10"/>
  <c r="L339" i="10"/>
  <c r="M339" i="10"/>
  <c r="K346" i="10"/>
  <c r="L346" i="10"/>
  <c r="M346" i="10"/>
  <c r="K349" i="10"/>
  <c r="L349" i="10"/>
  <c r="M349" i="10"/>
  <c r="O190" i="10"/>
  <c r="P182" i="10"/>
  <c r="P186" i="10"/>
  <c r="P187" i="10"/>
  <c r="P157" i="10"/>
  <c r="P158" i="10"/>
  <c r="O147" i="10"/>
  <c r="O144" i="10"/>
  <c r="O145" i="10"/>
  <c r="O146" i="10"/>
  <c r="O143" i="10"/>
  <c r="M228" i="10"/>
  <c r="L228" i="10"/>
  <c r="K228" i="10"/>
  <c r="M225" i="10"/>
  <c r="L225" i="10"/>
  <c r="K225" i="10"/>
  <c r="M218" i="10"/>
  <c r="L218" i="10"/>
  <c r="K218" i="10"/>
  <c r="M212" i="10"/>
  <c r="L212" i="10"/>
  <c r="K212" i="10"/>
  <c r="M203" i="10"/>
  <c r="L203" i="10"/>
  <c r="K203" i="10"/>
  <c r="M200" i="10"/>
  <c r="L200" i="10"/>
  <c r="K200" i="10"/>
  <c r="M195" i="10"/>
  <c r="L195" i="10"/>
  <c r="K195" i="10"/>
  <c r="K159" i="10" s="1"/>
  <c r="M183" i="10"/>
  <c r="L183" i="10"/>
  <c r="M180" i="10"/>
  <c r="L180" i="10"/>
  <c r="K180" i="10"/>
  <c r="M167" i="10"/>
  <c r="L167" i="10"/>
  <c r="L159" i="10"/>
  <c r="K167" i="10"/>
  <c r="M160" i="10"/>
  <c r="M156" i="10"/>
  <c r="L156" i="10"/>
  <c r="M142" i="10"/>
  <c r="M141" i="10"/>
  <c r="L141" i="10"/>
  <c r="K141" i="10"/>
  <c r="K140" i="10" s="1"/>
  <c r="L135" i="10"/>
  <c r="K135" i="10"/>
  <c r="J18" i="11"/>
  <c r="J19" i="11"/>
  <c r="J20" i="11"/>
  <c r="J17" i="11"/>
  <c r="G21" i="11"/>
  <c r="J21" i="11" s="1"/>
  <c r="G16" i="11"/>
  <c r="H28" i="11"/>
  <c r="J28" i="11" s="1"/>
  <c r="F28" i="11"/>
  <c r="E28" i="11"/>
  <c r="J27" i="11"/>
  <c r="J26" i="11"/>
  <c r="J25" i="11"/>
  <c r="J24" i="11"/>
  <c r="J23" i="11"/>
  <c r="J16" i="11"/>
  <c r="J15" i="11"/>
  <c r="J14" i="11"/>
  <c r="I13" i="11"/>
  <c r="H13" i="11"/>
  <c r="G13" i="11"/>
  <c r="J12" i="11"/>
  <c r="J11" i="11"/>
  <c r="J10" i="11"/>
  <c r="J9" i="11"/>
  <c r="C14" i="6"/>
  <c r="D14" i="6"/>
  <c r="E14" i="6"/>
  <c r="F14" i="6"/>
  <c r="G14" i="6"/>
  <c r="H14" i="6"/>
  <c r="I14" i="6"/>
  <c r="J14" i="6"/>
  <c r="C15" i="6"/>
  <c r="D15" i="6"/>
  <c r="E15" i="6"/>
  <c r="F15" i="6"/>
  <c r="G15" i="6"/>
  <c r="H15" i="6"/>
  <c r="I15" i="6"/>
  <c r="J15" i="6"/>
  <c r="L15" i="6"/>
  <c r="M15" i="6"/>
  <c r="N15" i="6" s="1"/>
  <c r="C17" i="6"/>
  <c r="D17" i="6"/>
  <c r="E17" i="6"/>
  <c r="F17" i="6"/>
  <c r="J17" i="6"/>
  <c r="B7" i="6"/>
  <c r="M45" i="10"/>
  <c r="M103" i="10"/>
  <c r="M90" i="10"/>
  <c r="L19" i="10"/>
  <c r="M106" i="10"/>
  <c r="R610" i="9"/>
  <c r="M610" i="9"/>
  <c r="L610" i="9"/>
  <c r="K610" i="9"/>
  <c r="R607" i="9"/>
  <c r="L607" i="9"/>
  <c r="K607" i="9"/>
  <c r="R600" i="9"/>
  <c r="M600" i="9"/>
  <c r="L600" i="9"/>
  <c r="K600" i="9"/>
  <c r="R594" i="9"/>
  <c r="L594" i="9"/>
  <c r="K594" i="9"/>
  <c r="M593" i="9"/>
  <c r="M591" i="9"/>
  <c r="M590" i="9"/>
  <c r="R585" i="9"/>
  <c r="L585" i="9"/>
  <c r="K585" i="9"/>
  <c r="R582" i="9"/>
  <c r="M582" i="9"/>
  <c r="L582" i="9"/>
  <c r="K582" i="9"/>
  <c r="R577" i="9"/>
  <c r="M577" i="9"/>
  <c r="L577" i="9"/>
  <c r="K577" i="9"/>
  <c r="M568" i="9"/>
  <c r="R567" i="9"/>
  <c r="R566" i="9"/>
  <c r="R565" i="9" s="1"/>
  <c r="R562" i="9" s="1"/>
  <c r="M566" i="9"/>
  <c r="M565" i="9" s="1"/>
  <c r="M562" i="9" s="1"/>
  <c r="L565" i="9"/>
  <c r="L562" i="9" s="1"/>
  <c r="K562" i="9"/>
  <c r="R549" i="9"/>
  <c r="R541" i="9" s="1"/>
  <c r="L549" i="9"/>
  <c r="K549" i="9"/>
  <c r="R542" i="9"/>
  <c r="M542" i="9"/>
  <c r="L542" i="9"/>
  <c r="L541" i="9" s="1"/>
  <c r="K542" i="9"/>
  <c r="M538" i="9"/>
  <c r="L538" i="9"/>
  <c r="U528" i="9"/>
  <c r="M524" i="9"/>
  <c r="L524" i="9"/>
  <c r="M523" i="9"/>
  <c r="L523" i="9"/>
  <c r="L522" i="9" s="1"/>
  <c r="K523" i="9"/>
  <c r="K522" i="9" s="1"/>
  <c r="R521" i="9"/>
  <c r="T520" i="9"/>
  <c r="V518" i="9"/>
  <c r="V520" i="9" s="1"/>
  <c r="R518" i="9"/>
  <c r="L517" i="9"/>
  <c r="K517" i="9"/>
  <c r="O81" i="9"/>
  <c r="S36" i="9"/>
  <c r="U33" i="9"/>
  <c r="R34" i="9"/>
  <c r="P33" i="9"/>
  <c r="Q33" i="9"/>
  <c r="P32" i="9"/>
  <c r="Q32" i="9" s="1"/>
  <c r="P31" i="9"/>
  <c r="Q31" i="9"/>
  <c r="Q30" i="9"/>
  <c r="P29" i="9"/>
  <c r="Q29" i="9"/>
  <c r="Q34" i="9" s="1"/>
  <c r="M112" i="9"/>
  <c r="L112" i="9"/>
  <c r="Q107" i="9"/>
  <c r="M107" i="9"/>
  <c r="L107" i="9"/>
  <c r="K107" i="9"/>
  <c r="Q104" i="9"/>
  <c r="L104" i="9"/>
  <c r="K104" i="9"/>
  <c r="M101" i="9"/>
  <c r="L101" i="9"/>
  <c r="Q97" i="9"/>
  <c r="M97" i="9"/>
  <c r="L97" i="9"/>
  <c r="K97" i="9"/>
  <c r="Q91" i="9"/>
  <c r="L91" i="9"/>
  <c r="K91" i="9"/>
  <c r="Q82" i="9"/>
  <c r="M82" i="9"/>
  <c r="L82" i="9"/>
  <c r="K82" i="9"/>
  <c r="M80" i="9"/>
  <c r="L80" i="9"/>
  <c r="L79" i="9" s="1"/>
  <c r="Q79" i="9"/>
  <c r="M79" i="9"/>
  <c r="K79" i="9"/>
  <c r="M75" i="9"/>
  <c r="L75" i="9"/>
  <c r="Q74" i="9"/>
  <c r="M74" i="9"/>
  <c r="L74" i="9"/>
  <c r="K74" i="9"/>
  <c r="Q64" i="9"/>
  <c r="M64" i="9"/>
  <c r="M62" i="9" s="1"/>
  <c r="M59" i="9" s="1"/>
  <c r="L64" i="9"/>
  <c r="Q63" i="9"/>
  <c r="M63" i="9"/>
  <c r="L63" i="9"/>
  <c r="L62" i="9" s="1"/>
  <c r="L59" i="9" s="1"/>
  <c r="L38" i="9" s="1"/>
  <c r="Q62" i="9"/>
  <c r="Q59" i="9" s="1"/>
  <c r="K59" i="9"/>
  <c r="Q46" i="9"/>
  <c r="L46" i="9"/>
  <c r="K46" i="9"/>
  <c r="Q39" i="9"/>
  <c r="M39" i="9"/>
  <c r="L39" i="9"/>
  <c r="K39" i="9"/>
  <c r="M37" i="9"/>
  <c r="L37" i="9"/>
  <c r="M36" i="9"/>
  <c r="L36" i="9"/>
  <c r="L35" i="9" s="1"/>
  <c r="M35" i="9"/>
  <c r="O43" i="9"/>
  <c r="M26" i="9"/>
  <c r="L26" i="9"/>
  <c r="M25" i="9"/>
  <c r="L25" i="9"/>
  <c r="M24" i="9"/>
  <c r="L24" i="9"/>
  <c r="M22" i="9"/>
  <c r="L22" i="9"/>
  <c r="L21" i="9" s="1"/>
  <c r="L20" i="9" s="1"/>
  <c r="K20" i="9"/>
  <c r="K19" i="9" s="1"/>
  <c r="P19" i="9"/>
  <c r="L14" i="9"/>
  <c r="K14" i="9"/>
  <c r="M61" i="10"/>
  <c r="M58" i="10"/>
  <c r="L34" i="10"/>
  <c r="L61" i="10"/>
  <c r="L58" i="10" s="1"/>
  <c r="L37" i="10" s="1"/>
  <c r="L18" i="10" s="1"/>
  <c r="M78" i="10"/>
  <c r="L106" i="10"/>
  <c r="K106" i="10"/>
  <c r="L103" i="10"/>
  <c r="K103" i="10"/>
  <c r="M96" i="10"/>
  <c r="L96" i="10"/>
  <c r="K96" i="10"/>
  <c r="L90" i="10"/>
  <c r="K90" i="10"/>
  <c r="M81" i="10"/>
  <c r="L81" i="10"/>
  <c r="K81" i="10"/>
  <c r="L78" i="10"/>
  <c r="K78" i="10"/>
  <c r="M73" i="10"/>
  <c r="L73" i="10"/>
  <c r="K73" i="10"/>
  <c r="K58" i="10"/>
  <c r="L45" i="10"/>
  <c r="K45" i="10"/>
  <c r="M38" i="10"/>
  <c r="M34" i="10"/>
  <c r="K19" i="10"/>
  <c r="L13" i="10"/>
  <c r="K13" i="10"/>
  <c r="N482" i="9"/>
  <c r="M482" i="9"/>
  <c r="L482" i="9"/>
  <c r="K482" i="9"/>
  <c r="M479" i="9"/>
  <c r="L479" i="9"/>
  <c r="K479" i="9"/>
  <c r="N476" i="9"/>
  <c r="N472" i="9"/>
  <c r="M472" i="9"/>
  <c r="L472" i="9"/>
  <c r="K472" i="9"/>
  <c r="M466" i="9"/>
  <c r="L466" i="9"/>
  <c r="K466" i="9"/>
  <c r="N457" i="9"/>
  <c r="M457" i="9"/>
  <c r="L457" i="9"/>
  <c r="K457" i="9"/>
  <c r="N454" i="9"/>
  <c r="M454" i="9"/>
  <c r="L454" i="9"/>
  <c r="K454" i="9"/>
  <c r="N449" i="9"/>
  <c r="M449" i="9"/>
  <c r="L449" i="9"/>
  <c r="K449" i="9"/>
  <c r="N439" i="9"/>
  <c r="M439" i="9"/>
  <c r="M437" i="9" s="1"/>
  <c r="M434" i="9" s="1"/>
  <c r="N438" i="9"/>
  <c r="N437" i="9" s="1"/>
  <c r="M438" i="9"/>
  <c r="N435" i="9"/>
  <c r="L434" i="9"/>
  <c r="K434" i="9"/>
  <c r="M421" i="9"/>
  <c r="L421" i="9"/>
  <c r="K421" i="9"/>
  <c r="N414" i="9"/>
  <c r="M414" i="9"/>
  <c r="L414" i="9"/>
  <c r="K414" i="9"/>
  <c r="N412" i="9"/>
  <c r="M412" i="9"/>
  <c r="M410" i="9" s="1"/>
  <c r="N411" i="9"/>
  <c r="N410" i="9" s="1"/>
  <c r="M411" i="9"/>
  <c r="N401" i="9"/>
  <c r="M401" i="9"/>
  <c r="N400" i="9"/>
  <c r="M400" i="9"/>
  <c r="N399" i="9"/>
  <c r="M399" i="9"/>
  <c r="N397" i="9"/>
  <c r="M397" i="9"/>
  <c r="M396" i="9" s="1"/>
  <c r="N396" i="9"/>
  <c r="N395" i="9" s="1"/>
  <c r="P398" i="9"/>
  <c r="O395" i="9"/>
  <c r="L395" i="9"/>
  <c r="L394" i="9" s="1"/>
  <c r="K395" i="9"/>
  <c r="K394" i="9"/>
  <c r="M389" i="9"/>
  <c r="L389" i="9"/>
  <c r="K389" i="9"/>
  <c r="N8" i="6"/>
  <c r="M358" i="9"/>
  <c r="N358" i="9"/>
  <c r="O358" i="9"/>
  <c r="L358" i="9"/>
  <c r="K358" i="9"/>
  <c r="M355" i="9"/>
  <c r="L355" i="9"/>
  <c r="K355" i="9"/>
  <c r="N352" i="9"/>
  <c r="M352" i="9"/>
  <c r="N348" i="9"/>
  <c r="M348" i="9"/>
  <c r="M289" i="9" s="1"/>
  <c r="L348" i="9"/>
  <c r="K348" i="9"/>
  <c r="M342" i="9"/>
  <c r="L342" i="9"/>
  <c r="K342" i="9"/>
  <c r="N333" i="9"/>
  <c r="M333" i="9"/>
  <c r="L333" i="9"/>
  <c r="K333" i="9"/>
  <c r="N330" i="9"/>
  <c r="M330" i="9"/>
  <c r="L330" i="9"/>
  <c r="K330" i="9"/>
  <c r="N325" i="9"/>
  <c r="M325" i="9"/>
  <c r="L325" i="9"/>
  <c r="K325" i="9"/>
  <c r="N316" i="9"/>
  <c r="M316" i="9"/>
  <c r="N315" i="9"/>
  <c r="M315" i="9"/>
  <c r="N314" i="9"/>
  <c r="M314" i="9"/>
  <c r="M313" i="9" s="1"/>
  <c r="N313" i="9"/>
  <c r="N310" i="9" s="1"/>
  <c r="M310" i="9"/>
  <c r="L310" i="9"/>
  <c r="K310" i="9"/>
  <c r="M297" i="9"/>
  <c r="L297" i="9"/>
  <c r="K297" i="9"/>
  <c r="N290" i="9"/>
  <c r="M290" i="9"/>
  <c r="L290" i="9"/>
  <c r="K290" i="9"/>
  <c r="N288" i="9"/>
  <c r="M288" i="9"/>
  <c r="N287" i="9"/>
  <c r="M287" i="9"/>
  <c r="N286" i="9"/>
  <c r="M286" i="9"/>
  <c r="N277" i="9"/>
  <c r="M277" i="9"/>
  <c r="N276" i="9"/>
  <c r="M276" i="9"/>
  <c r="N275" i="9"/>
  <c r="M275" i="9"/>
  <c r="N273" i="9"/>
  <c r="N272" i="9" s="1"/>
  <c r="N271" i="9" s="1"/>
  <c r="M273" i="9"/>
  <c r="M272" i="9" s="1"/>
  <c r="M271" i="9" s="1"/>
  <c r="M270" i="9" s="1"/>
  <c r="T271" i="9"/>
  <c r="O271" i="9"/>
  <c r="L271" i="9"/>
  <c r="L270" i="9" s="1"/>
  <c r="K271" i="9"/>
  <c r="K270" i="9" s="1"/>
  <c r="M265" i="9"/>
  <c r="L265" i="9"/>
  <c r="K265" i="9"/>
  <c r="M234" i="9"/>
  <c r="O234" i="9"/>
  <c r="L234" i="9"/>
  <c r="K234" i="9"/>
  <c r="M231" i="9"/>
  <c r="L231" i="9"/>
  <c r="K231" i="9"/>
  <c r="M224" i="9"/>
  <c r="L224" i="9"/>
  <c r="K224" i="9"/>
  <c r="M218" i="9"/>
  <c r="L218" i="9"/>
  <c r="K218" i="9"/>
  <c r="M209" i="9"/>
  <c r="L209" i="9"/>
  <c r="K209" i="9"/>
  <c r="M206" i="9"/>
  <c r="L206" i="9"/>
  <c r="K206" i="9"/>
  <c r="M202" i="9"/>
  <c r="M201" i="9" s="1"/>
  <c r="L201" i="9"/>
  <c r="K201" i="9"/>
  <c r="M191" i="9"/>
  <c r="M190" i="9"/>
  <c r="M189" i="9"/>
  <c r="M186" i="9"/>
  <c r="L186" i="9"/>
  <c r="K186" i="9"/>
  <c r="M173" i="9"/>
  <c r="L173" i="9"/>
  <c r="K173" i="9"/>
  <c r="M166" i="9"/>
  <c r="L166" i="9"/>
  <c r="K166" i="9"/>
  <c r="M162" i="9"/>
  <c r="M153" i="9"/>
  <c r="R144" i="9"/>
  <c r="M149" i="9"/>
  <c r="M148" i="9"/>
  <c r="M147" i="9" s="1"/>
  <c r="T140" i="9"/>
  <c r="O147" i="9"/>
  <c r="L147" i="9"/>
  <c r="L146" i="9" s="1"/>
  <c r="K147" i="9"/>
  <c r="K146" i="9" s="1"/>
  <c r="M141" i="9"/>
  <c r="L141" i="9"/>
  <c r="K141" i="9"/>
  <c r="E47" i="6"/>
  <c r="E49" i="6" s="1"/>
  <c r="D48" i="6"/>
  <c r="E7" i="6"/>
  <c r="J44" i="6"/>
  <c r="K28" i="6"/>
  <c r="L28" i="6" s="1"/>
  <c r="K30" i="6"/>
  <c r="L30" i="6"/>
  <c r="K32" i="6"/>
  <c r="L32" i="6" s="1"/>
  <c r="K33" i="6"/>
  <c r="L33" i="6" s="1"/>
  <c r="C46" i="6"/>
  <c r="C48" i="6" s="1"/>
  <c r="H44" i="6"/>
  <c r="F44" i="6"/>
  <c r="E41" i="6"/>
  <c r="G41" i="6" s="1"/>
  <c r="E42" i="6"/>
  <c r="G42" i="6" s="1"/>
  <c r="E43" i="6"/>
  <c r="G43" i="6"/>
  <c r="N19" i="6"/>
  <c r="C34" i="6"/>
  <c r="E34" i="6"/>
  <c r="F34" i="6"/>
  <c r="G34" i="6"/>
  <c r="H34" i="6"/>
  <c r="I34" i="6"/>
  <c r="J34" i="6"/>
  <c r="D34" i="6"/>
  <c r="B33" i="6"/>
  <c r="B34" i="6"/>
  <c r="P23" i="6"/>
  <c r="P27" i="6"/>
  <c r="M7" i="6"/>
  <c r="C7" i="6"/>
  <c r="C9" i="6" s="1"/>
  <c r="D7" i="6"/>
  <c r="D9" i="6" s="1"/>
  <c r="F7" i="6"/>
  <c r="G7" i="6"/>
  <c r="H7" i="6"/>
  <c r="H9" i="6" s="1"/>
  <c r="I7" i="6"/>
  <c r="J7" i="6"/>
  <c r="L7" i="6"/>
  <c r="L9" i="6" s="1"/>
  <c r="K29" i="6"/>
  <c r="K31" i="6"/>
  <c r="C44" i="6"/>
  <c r="N6" i="6"/>
  <c r="N20" i="6"/>
  <c r="B9" i="6"/>
  <c r="M9" i="6"/>
  <c r="J9" i="6"/>
  <c r="I9" i="6"/>
  <c r="F9" i="6"/>
  <c r="Y5" i="6"/>
  <c r="H398" i="1"/>
  <c r="H397" i="1"/>
  <c r="H396" i="1" s="1"/>
  <c r="H394" i="1" s="1"/>
  <c r="M1" i="3"/>
  <c r="W18" i="3"/>
  <c r="W21" i="3"/>
  <c r="W23" i="3" s="1"/>
  <c r="C38" i="3"/>
  <c r="R58" i="3"/>
  <c r="R61" i="3" s="1"/>
  <c r="T58" i="3"/>
  <c r="T61" i="3" s="1"/>
  <c r="T10" i="3"/>
  <c r="N406" i="1"/>
  <c r="S58" i="3"/>
  <c r="L380" i="1"/>
  <c r="P58" i="3"/>
  <c r="W10" i="3"/>
  <c r="K388" i="1"/>
  <c r="K390" i="1" s="1"/>
  <c r="K392" i="1"/>
  <c r="M418" i="1"/>
  <c r="I415" i="1"/>
  <c r="G415" i="1"/>
  <c r="L407" i="1"/>
  <c r="I403" i="1"/>
  <c r="N402" i="1"/>
  <c r="M398" i="1"/>
  <c r="I398" i="1"/>
  <c r="I397" i="1" s="1"/>
  <c r="I396" i="1" s="1"/>
  <c r="G398" i="1"/>
  <c r="G397" i="1" s="1"/>
  <c r="G396" i="1" s="1"/>
  <c r="G394" i="1" s="1"/>
  <c r="J397" i="1"/>
  <c r="I394" i="1"/>
  <c r="H60" i="3"/>
  <c r="H62" i="3" s="1"/>
  <c r="H65" i="3" s="1"/>
  <c r="R50" i="3"/>
  <c r="R53" i="3" s="1"/>
  <c r="J9" i="3"/>
  <c r="J11" i="3" s="1"/>
  <c r="J371" i="1"/>
  <c r="J373" i="1" s="1"/>
  <c r="M376" i="1"/>
  <c r="I373" i="1"/>
  <c r="G373" i="1"/>
  <c r="L365" i="1"/>
  <c r="I361" i="1"/>
  <c r="N360" i="1"/>
  <c r="M356" i="1"/>
  <c r="I356" i="1"/>
  <c r="G356" i="1"/>
  <c r="J355" i="1"/>
  <c r="I355" i="1"/>
  <c r="H355" i="1"/>
  <c r="G355" i="1"/>
  <c r="J354" i="1"/>
  <c r="I354" i="1"/>
  <c r="I352" i="1" s="1"/>
  <c r="H354" i="1"/>
  <c r="G354" i="1"/>
  <c r="H352" i="1"/>
  <c r="G352" i="1"/>
  <c r="H52" i="3"/>
  <c r="L52" i="3" s="1"/>
  <c r="H54" i="3"/>
  <c r="L54" i="3"/>
  <c r="N54" i="3" s="1"/>
  <c r="N56" i="3" s="1"/>
  <c r="H50" i="3"/>
  <c r="L50" i="3" s="1"/>
  <c r="L53" i="3" s="1"/>
  <c r="L56" i="3" s="1"/>
  <c r="N51" i="3"/>
  <c r="N52" i="3"/>
  <c r="I53" i="3"/>
  <c r="I56" i="3" s="1"/>
  <c r="J53" i="3"/>
  <c r="K53" i="3"/>
  <c r="K56" i="3" s="1"/>
  <c r="J56" i="3"/>
  <c r="M56" i="3"/>
  <c r="M12" i="3"/>
  <c r="H40" i="3"/>
  <c r="L40" i="3" s="1"/>
  <c r="H44" i="3"/>
  <c r="L44" i="3" s="1"/>
  <c r="N44" i="3" s="1"/>
  <c r="J329" i="1"/>
  <c r="J331" i="1" s="1"/>
  <c r="J333" i="1" s="1"/>
  <c r="J335" i="1" s="1"/>
  <c r="M334" i="1"/>
  <c r="I331" i="1"/>
  <c r="I310" i="1" s="1"/>
  <c r="G331" i="1"/>
  <c r="L323" i="1"/>
  <c r="I319" i="1"/>
  <c r="N318" i="1"/>
  <c r="M314" i="1"/>
  <c r="I314" i="1"/>
  <c r="G314" i="1"/>
  <c r="J313" i="1"/>
  <c r="I313" i="1"/>
  <c r="H313" i="1"/>
  <c r="G313" i="1"/>
  <c r="J312" i="1"/>
  <c r="I312" i="1"/>
  <c r="H312" i="1"/>
  <c r="G312" i="1"/>
  <c r="G310" i="1"/>
  <c r="H310" i="1"/>
  <c r="H42" i="3"/>
  <c r="H43" i="3"/>
  <c r="H46" i="3" s="1"/>
  <c r="L47" i="3" s="1"/>
  <c r="I43" i="3"/>
  <c r="I46" i="3"/>
  <c r="J43" i="3"/>
  <c r="J46" i="3" s="1"/>
  <c r="M46" i="3"/>
  <c r="K43" i="3"/>
  <c r="K46" i="3" s="1"/>
  <c r="R44" i="3"/>
  <c r="R43" i="3"/>
  <c r="N41" i="3"/>
  <c r="Q40" i="3"/>
  <c r="N276" i="1"/>
  <c r="O10" i="3"/>
  <c r="H32" i="3"/>
  <c r="L32" i="3" s="1"/>
  <c r="N32" i="3" s="1"/>
  <c r="N34" i="3" s="1"/>
  <c r="N31" i="3"/>
  <c r="N29" i="3"/>
  <c r="M34" i="3"/>
  <c r="Q28" i="3"/>
  <c r="H28" i="3"/>
  <c r="L28" i="3" s="1"/>
  <c r="J287" i="1"/>
  <c r="J289" i="1"/>
  <c r="J291" i="1" s="1"/>
  <c r="J293" i="1" s="1"/>
  <c r="N237" i="1"/>
  <c r="K244" i="1"/>
  <c r="K246" i="1"/>
  <c r="K248" i="1" s="1"/>
  <c r="J203" i="1"/>
  <c r="J204" i="1" s="1"/>
  <c r="H30" i="3"/>
  <c r="L30" i="3" s="1"/>
  <c r="J31" i="3"/>
  <c r="J34" i="3" s="1"/>
  <c r="I31" i="3"/>
  <c r="I34" i="3"/>
  <c r="K31" i="3"/>
  <c r="K34" i="3" s="1"/>
  <c r="O18" i="3"/>
  <c r="O21" i="3"/>
  <c r="N18" i="3"/>
  <c r="N21" i="3" s="1"/>
  <c r="B5" i="3"/>
  <c r="C5" i="3"/>
  <c r="C7" i="3" s="1"/>
  <c r="D5" i="3"/>
  <c r="E5" i="3"/>
  <c r="F5" i="3"/>
  <c r="G5" i="3"/>
  <c r="G7" i="3" s="1"/>
  <c r="H5" i="3"/>
  <c r="M19" i="3"/>
  <c r="M16" i="3"/>
  <c r="P16" i="3" s="1"/>
  <c r="M17" i="3"/>
  <c r="P17" i="3" s="1"/>
  <c r="P19" i="3"/>
  <c r="R19" i="3"/>
  <c r="U32" i="3"/>
  <c r="R32" i="3"/>
  <c r="R31" i="3"/>
  <c r="M292" i="1"/>
  <c r="I289" i="1"/>
  <c r="G289" i="1"/>
  <c r="L281" i="1"/>
  <c r="I277" i="1"/>
  <c r="I270" i="1" s="1"/>
  <c r="I268" i="1" s="1"/>
  <c r="M272" i="1"/>
  <c r="I272" i="1"/>
  <c r="H272" i="1"/>
  <c r="G272" i="1"/>
  <c r="J271" i="1"/>
  <c r="I271" i="1"/>
  <c r="H271" i="1"/>
  <c r="G271" i="1"/>
  <c r="J270" i="1"/>
  <c r="H270" i="1"/>
  <c r="H268" i="1" s="1"/>
  <c r="G270" i="1"/>
  <c r="G268" i="1" s="1"/>
  <c r="Q8" i="3"/>
  <c r="N6" i="3"/>
  <c r="T6" i="3" s="1"/>
  <c r="W6" i="3"/>
  <c r="N4" i="3"/>
  <c r="T4" i="3" s="1"/>
  <c r="N3" i="3"/>
  <c r="T3" i="3"/>
  <c r="W3" i="3" s="1"/>
  <c r="Y3" i="3" s="1"/>
  <c r="O5" i="3"/>
  <c r="M5" i="3"/>
  <c r="M7" i="3" s="1"/>
  <c r="I5" i="3"/>
  <c r="J5" i="3"/>
  <c r="J7" i="3"/>
  <c r="K5" i="3"/>
  <c r="L5" i="3"/>
  <c r="Q5" i="3"/>
  <c r="M250" i="1"/>
  <c r="L239" i="1"/>
  <c r="H19" i="3"/>
  <c r="J19" i="3"/>
  <c r="L19" i="3" s="1"/>
  <c r="H16" i="3"/>
  <c r="M230" i="1"/>
  <c r="J229" i="1"/>
  <c r="J228" i="1" s="1"/>
  <c r="J226" i="1" s="1"/>
  <c r="I247" i="1"/>
  <c r="G247" i="1"/>
  <c r="I235" i="1"/>
  <c r="H230" i="1"/>
  <c r="I230" i="1"/>
  <c r="G230" i="1"/>
  <c r="G229" i="1" s="1"/>
  <c r="G228" i="1" s="1"/>
  <c r="G226" i="1" s="1"/>
  <c r="I229" i="1"/>
  <c r="H229" i="1"/>
  <c r="H228" i="1" s="1"/>
  <c r="H226" i="1" s="1"/>
  <c r="U19" i="3"/>
  <c r="L8" i="3"/>
  <c r="K160" i="1"/>
  <c r="M160" i="1"/>
  <c r="M159" i="1" s="1"/>
  <c r="K161" i="1"/>
  <c r="K159" i="1" s="1"/>
  <c r="M199" i="1"/>
  <c r="J199" i="1"/>
  <c r="M185" i="1"/>
  <c r="M142" i="1"/>
  <c r="H17" i="3"/>
  <c r="J17" i="3" s="1"/>
  <c r="I18" i="3"/>
  <c r="I21" i="3" s="1"/>
  <c r="H188" i="1"/>
  <c r="H187" i="1" s="1"/>
  <c r="H186" i="1" s="1"/>
  <c r="H184" i="1" s="1"/>
  <c r="I188" i="1"/>
  <c r="I187" i="1" s="1"/>
  <c r="I186" i="1" s="1"/>
  <c r="I184" i="1" s="1"/>
  <c r="O191" i="1"/>
  <c r="H146" i="1"/>
  <c r="B18" i="3"/>
  <c r="B21" i="3"/>
  <c r="D23" i="3" s="1"/>
  <c r="C18" i="3"/>
  <c r="C21" i="3" s="1"/>
  <c r="D19" i="3"/>
  <c r="D18" i="3"/>
  <c r="D21" i="3" s="1"/>
  <c r="D17" i="3"/>
  <c r="D16" i="3"/>
  <c r="B7" i="3"/>
  <c r="D7" i="3"/>
  <c r="E7" i="3"/>
  <c r="F7" i="3"/>
  <c r="H7" i="3"/>
  <c r="I7" i="3"/>
  <c r="K7" i="3"/>
  <c r="L7" i="3"/>
  <c r="L193" i="1"/>
  <c r="N193" i="1"/>
  <c r="L151" i="1"/>
  <c r="N151" i="1" s="1"/>
  <c r="I205" i="1"/>
  <c r="G205" i="1"/>
  <c r="O196" i="1"/>
  <c r="I193" i="1"/>
  <c r="L191" i="1"/>
  <c r="L190" i="1"/>
  <c r="N190" i="1" s="1"/>
  <c r="L189" i="1"/>
  <c r="L186" i="1" s="1"/>
  <c r="L188" i="1"/>
  <c r="G188" i="1"/>
  <c r="G187" i="1" s="1"/>
  <c r="G186" i="1" s="1"/>
  <c r="G184" i="1" s="1"/>
  <c r="K186" i="1"/>
  <c r="O154" i="1"/>
  <c r="L148" i="1"/>
  <c r="N148" i="1"/>
  <c r="L147" i="1"/>
  <c r="L144" i="1" s="1"/>
  <c r="K144" i="1"/>
  <c r="K115" i="1"/>
  <c r="I163" i="1"/>
  <c r="G163" i="1"/>
  <c r="I151" i="1"/>
  <c r="L149" i="1"/>
  <c r="L146" i="1"/>
  <c r="I146" i="1"/>
  <c r="I145" i="1" s="1"/>
  <c r="I144" i="1" s="1"/>
  <c r="I142" i="1" s="1"/>
  <c r="G146" i="1"/>
  <c r="G145" i="1" s="1"/>
  <c r="G144" i="1" s="1"/>
  <c r="G142" i="1" s="1"/>
  <c r="H145" i="1"/>
  <c r="H144" i="1" s="1"/>
  <c r="H142" i="1" s="1"/>
  <c r="L109" i="1"/>
  <c r="L106" i="1"/>
  <c r="L105" i="1"/>
  <c r="L104" i="1"/>
  <c r="L107" i="1"/>
  <c r="I121" i="1"/>
  <c r="G121" i="1"/>
  <c r="I109" i="1"/>
  <c r="I104" i="1"/>
  <c r="I103" i="1" s="1"/>
  <c r="I102" i="1" s="1"/>
  <c r="I100" i="1" s="1"/>
  <c r="G104" i="1"/>
  <c r="G103" i="1" s="1"/>
  <c r="G102" i="1" s="1"/>
  <c r="G100" i="1" s="1"/>
  <c r="H103" i="1"/>
  <c r="H102" i="1"/>
  <c r="H100" i="1" s="1"/>
  <c r="I26" i="1"/>
  <c r="I24" i="1"/>
  <c r="H61" i="1"/>
  <c r="H60" i="1" s="1"/>
  <c r="H58" i="1" s="1"/>
  <c r="G62" i="1"/>
  <c r="G61" i="1" s="1"/>
  <c r="G60" i="1" s="1"/>
  <c r="G58" i="1" s="1"/>
  <c r="G79" i="1"/>
  <c r="G19" i="1"/>
  <c r="I67" i="1"/>
  <c r="I79" i="1"/>
  <c r="I62" i="1"/>
  <c r="I61" i="1" s="1"/>
  <c r="I60" i="1" s="1"/>
  <c r="I58" i="1" s="1"/>
  <c r="I19" i="1"/>
  <c r="I18" i="1" s="1"/>
  <c r="I17" i="1" s="1"/>
  <c r="I15" i="1" s="1"/>
  <c r="H36" i="1"/>
  <c r="H18" i="1"/>
  <c r="H17" i="1" s="1"/>
  <c r="H15" i="1" s="1"/>
  <c r="I36" i="1"/>
  <c r="G18" i="1"/>
  <c r="G17" i="1" s="1"/>
  <c r="G15" i="1" s="1"/>
  <c r="G36" i="1"/>
  <c r="J396" i="1"/>
  <c r="J394" i="1" s="1"/>
  <c r="E9" i="6"/>
  <c r="N40" i="3"/>
  <c r="N5" i="3"/>
  <c r="P5" i="3" s="1"/>
  <c r="L42" i="3"/>
  <c r="N42" i="3" s="1"/>
  <c r="K60" i="3"/>
  <c r="E44" i="6"/>
  <c r="L43" i="3"/>
  <c r="L46" i="3"/>
  <c r="O482" i="9"/>
  <c r="N289" i="9"/>
  <c r="N270" i="9" s="1"/>
  <c r="M395" i="9"/>
  <c r="M20" i="10"/>
  <c r="M19" i="10" s="1"/>
  <c r="M18" i="10" s="1"/>
  <c r="Q38" i="9"/>
  <c r="I16" i="6"/>
  <c r="G16" i="6"/>
  <c r="J16" i="6"/>
  <c r="J18" i="6" s="1"/>
  <c r="J21" i="6" s="1"/>
  <c r="H16" i="6"/>
  <c r="J13" i="11"/>
  <c r="M159" i="10"/>
  <c r="O168" i="10" s="1"/>
  <c r="K37" i="10"/>
  <c r="K18" i="10" s="1"/>
  <c r="M403" i="10"/>
  <c r="M384" i="10" s="1"/>
  <c r="K280" i="10"/>
  <c r="K261" i="10" s="1"/>
  <c r="L660" i="10"/>
  <c r="L641" i="10"/>
  <c r="M827" i="10"/>
  <c r="L384" i="10"/>
  <c r="O644" i="10"/>
  <c r="M1051" i="10"/>
  <c r="M1297" i="10"/>
  <c r="M1276" i="10"/>
  <c r="O1276" i="10" s="1"/>
  <c r="K538" i="10"/>
  <c r="K519" i="10"/>
  <c r="M140" i="10"/>
  <c r="M280" i="10"/>
  <c r="M1030" i="10"/>
  <c r="M1011" i="10"/>
  <c r="O1004" i="10"/>
  <c r="O1005" i="10" s="1"/>
  <c r="O1008" i="10" s="1"/>
  <c r="P1008" i="10" s="1"/>
  <c r="L1152" i="10"/>
  <c r="L1133" i="10" s="1"/>
  <c r="S1023" i="10"/>
  <c r="L280" i="10"/>
  <c r="L261" i="10" s="1"/>
  <c r="L905" i="10"/>
  <c r="L886" i="10"/>
  <c r="M37" i="10"/>
  <c r="N1233" i="10"/>
  <c r="M538" i="10"/>
  <c r="M519" i="10" s="1"/>
  <c r="L1276" i="10"/>
  <c r="L1257" i="10" s="1"/>
  <c r="O188" i="1"/>
  <c r="O192" i="1" s="1"/>
  <c r="N53" i="3"/>
  <c r="Q52" i="3"/>
  <c r="J16" i="3"/>
  <c r="J18" i="3" s="1"/>
  <c r="J21" i="3" s="1"/>
  <c r="H18" i="3"/>
  <c r="H21" i="3" s="1"/>
  <c r="K22" i="3" s="1"/>
  <c r="J268" i="1"/>
  <c r="S5" i="3"/>
  <c r="H31" i="3"/>
  <c r="H34" i="3" s="1"/>
  <c r="L35" i="3" s="1"/>
  <c r="G44" i="6"/>
  <c r="I44" i="6" s="1"/>
  <c r="L140" i="10"/>
  <c r="M261" i="10"/>
  <c r="K641" i="10"/>
  <c r="M641" i="10"/>
  <c r="K1011" i="10"/>
  <c r="M1173" i="10"/>
  <c r="M1152" i="10"/>
  <c r="M1133" i="10" s="1"/>
  <c r="J22" i="11"/>
  <c r="L14" i="6"/>
  <c r="L16" i="3"/>
  <c r="N7" i="3" l="1"/>
  <c r="L31" i="3"/>
  <c r="L34" i="3" s="1"/>
  <c r="J310" i="1"/>
  <c r="J352" i="1"/>
  <c r="J375" i="1"/>
  <c r="J377" i="1" s="1"/>
  <c r="R16" i="3"/>
  <c r="P18" i="3"/>
  <c r="S898" i="10"/>
  <c r="M886" i="10"/>
  <c r="L19" i="9"/>
  <c r="M38" i="9"/>
  <c r="N43" i="3"/>
  <c r="N46" i="3" s="1"/>
  <c r="P42" i="3"/>
  <c r="L34" i="6"/>
  <c r="K14" i="6"/>
  <c r="M14" i="6"/>
  <c r="N14" i="6" s="1"/>
  <c r="N5" i="6"/>
  <c r="K7" i="6"/>
  <c r="M1257" i="10"/>
  <c r="O1272" i="10"/>
  <c r="E16" i="6"/>
  <c r="E18" i="6" s="1"/>
  <c r="E21" i="6" s="1"/>
  <c r="F16" i="6"/>
  <c r="F18" i="6" s="1"/>
  <c r="F21" i="6" s="1"/>
  <c r="H53" i="3"/>
  <c r="H56" i="3" s="1"/>
  <c r="L57" i="3" s="1"/>
  <c r="N434" i="9"/>
  <c r="N413" i="9" s="1"/>
  <c r="N394" i="9" s="1"/>
  <c r="D16" i="6"/>
  <c r="D18" i="6" s="1"/>
  <c r="D21" i="6" s="1"/>
  <c r="G17" i="6"/>
  <c r="G18" i="6" s="1"/>
  <c r="G21" i="6" s="1"/>
  <c r="K17" i="6"/>
  <c r="H17" i="6"/>
  <c r="H18" i="6" s="1"/>
  <c r="H21" i="6" s="1"/>
  <c r="L17" i="6"/>
  <c r="G9" i="6"/>
  <c r="I17" i="6"/>
  <c r="I18" i="6" s="1"/>
  <c r="I21" i="6" s="1"/>
  <c r="M17" i="6"/>
  <c r="N17" i="6" s="1"/>
  <c r="L1030" i="10"/>
  <c r="L1011" i="10" s="1"/>
  <c r="M18" i="3"/>
  <c r="M21" i="3" s="1"/>
  <c r="P22" i="3" s="1"/>
  <c r="L16" i="6"/>
  <c r="L18" i="6" s="1"/>
  <c r="L21" i="6" s="1"/>
  <c r="K16" i="6"/>
  <c r="K18" i="6" s="1"/>
  <c r="K21" i="6" s="1"/>
  <c r="C16" i="6"/>
  <c r="C18" i="6" s="1"/>
  <c r="C21" i="6" s="1"/>
  <c r="I228" i="1"/>
  <c r="I226" i="1" s="1"/>
  <c r="K34" i="6"/>
  <c r="M165" i="9"/>
  <c r="P158" i="9" s="1"/>
  <c r="M413" i="9"/>
  <c r="P413" i="9" s="1"/>
  <c r="O413" i="9" s="1"/>
  <c r="M21" i="9"/>
  <c r="M20" i="9" s="1"/>
  <c r="M19" i="9" s="1"/>
  <c r="M585" i="9"/>
  <c r="M541" i="9" s="1"/>
  <c r="M522" i="9" s="1"/>
  <c r="N522" i="9" s="1"/>
  <c r="L538" i="10"/>
  <c r="L519" i="10" s="1"/>
  <c r="K783" i="10"/>
  <c r="K764" i="10" s="1"/>
  <c r="K1152" i="10"/>
  <c r="K1133" i="10" s="1"/>
  <c r="K1257" i="10"/>
  <c r="L783" i="10"/>
  <c r="L764" i="10" s="1"/>
  <c r="K905" i="10"/>
  <c r="K886" i="10" s="1"/>
  <c r="O1047" i="10"/>
  <c r="M146" i="9" l="1"/>
  <c r="O146" i="9" s="1"/>
  <c r="R18" i="3"/>
  <c r="P21" i="3"/>
  <c r="K9" i="6"/>
  <c r="M16" i="6"/>
  <c r="N19" i="9"/>
  <c r="N7" i="6"/>
  <c r="N9" i="6" s="1"/>
  <c r="N11" i="6" s="1"/>
  <c r="M394" i="9"/>
  <c r="N16" i="6" l="1"/>
  <c r="M18" i="6"/>
  <c r="M21" i="6" l="1"/>
  <c r="N18" i="6"/>
  <c r="N21" i="6" s="1"/>
</calcChain>
</file>

<file path=xl/comments1.xml><?xml version="1.0" encoding="utf-8"?>
<comments xmlns="http://schemas.openxmlformats.org/spreadsheetml/2006/main">
  <authors>
    <author>USER PC</author>
  </authors>
  <commentList>
    <comment ref="D23" authorId="0" shapeId="0">
      <text>
        <r>
          <rPr>
            <b/>
            <sz val="8"/>
            <color indexed="81"/>
            <rFont val="Tahoma"/>
            <family val="2"/>
          </rPr>
          <t>USER PC:</t>
        </r>
        <r>
          <rPr>
            <sz val="8"/>
            <color indexed="81"/>
            <rFont val="Tahoma"/>
            <family val="2"/>
          </rPr>
          <t xml:space="preserve">
gjendje te ardhura nga 2009 unfdpa</t>
        </r>
      </text>
    </comment>
  </commentList>
</comments>
</file>

<file path=xl/comments2.xml><?xml version="1.0" encoding="utf-8"?>
<comments xmlns="http://schemas.openxmlformats.org/spreadsheetml/2006/main">
  <authors>
    <author>USER PC</author>
  </authors>
  <commentList>
    <comment ref="C22" authorId="0" shapeId="0">
      <text>
        <r>
          <rPr>
            <b/>
            <sz val="8"/>
            <color indexed="81"/>
            <rFont val="Tahoma"/>
            <family val="2"/>
          </rPr>
          <t>USER PC:</t>
        </r>
        <r>
          <rPr>
            <sz val="8"/>
            <color indexed="81"/>
            <rFont val="Tahoma"/>
            <family val="2"/>
          </rPr>
          <t xml:space="preserve">
gjendje te ardhura nga 2009 unfdpa</t>
        </r>
      </text>
    </comment>
  </commentList>
</comments>
</file>

<file path=xl/comments3.xml><?xml version="1.0" encoding="utf-8"?>
<comments xmlns="http://schemas.openxmlformats.org/spreadsheetml/2006/main">
  <authors>
    <author>USER PC</author>
  </authors>
  <commentList>
    <comment ref="C20" authorId="0" shapeId="0">
      <text>
        <r>
          <rPr>
            <b/>
            <sz val="8"/>
            <color indexed="81"/>
            <rFont val="Tahoma"/>
            <family val="2"/>
          </rPr>
          <t>USER PC:</t>
        </r>
        <r>
          <rPr>
            <sz val="8"/>
            <color indexed="81"/>
            <rFont val="Tahoma"/>
            <family val="2"/>
          </rPr>
          <t xml:space="preserve">
gjendje te ardhura nga 2009 unfdpa</t>
        </r>
      </text>
    </comment>
    <comment ref="D28" authorId="0" shapeId="0">
      <text>
        <r>
          <rPr>
            <b/>
            <sz val="8"/>
            <color indexed="81"/>
            <rFont val="Tahoma"/>
            <family val="2"/>
          </rPr>
          <t>USER PC:</t>
        </r>
        <r>
          <rPr>
            <sz val="8"/>
            <color indexed="81"/>
            <rFont val="Tahoma"/>
            <family val="2"/>
          </rPr>
          <t xml:space="preserve">
Fondi I vecante ne mije leke</t>
        </r>
      </text>
    </comment>
  </commentList>
</comments>
</file>

<file path=xl/comments4.xml><?xml version="1.0" encoding="utf-8"?>
<comments xmlns="http://schemas.openxmlformats.org/spreadsheetml/2006/main">
  <authors>
    <author>USER PC</author>
  </authors>
  <commentList>
    <comment ref="M167" authorId="0" shapeId="0">
      <text>
        <r>
          <rPr>
            <b/>
            <sz val="8"/>
            <color indexed="81"/>
            <rFont val="Tahoma"/>
            <family val="2"/>
          </rPr>
          <t>USER PC:</t>
        </r>
        <r>
          <rPr>
            <sz val="8"/>
            <color indexed="81"/>
            <rFont val="Tahoma"/>
            <family val="2"/>
          </rPr>
          <t xml:space="preserve">
Jane zbritur 1891 lek mbasi eshte bere nga thesari kalim I pjeshem I fat.nr138 dt 15.12.2010</t>
        </r>
      </text>
    </comment>
    <comment ref="N167" authorId="0" shapeId="0">
      <text>
        <r>
          <rPr>
            <b/>
            <sz val="8"/>
            <color indexed="81"/>
            <rFont val="Tahoma"/>
            <family val="2"/>
          </rPr>
          <t>USER PC:</t>
        </r>
        <r>
          <rPr>
            <sz val="8"/>
            <color indexed="81"/>
            <rFont val="Tahoma"/>
            <family val="2"/>
          </rPr>
          <t xml:space="preserve">
Jane zbritur 1891 lek mbasi eshte bere nga thesari kalim I pjeshem I fat.nr138 dt 15.12.2010</t>
        </r>
      </text>
    </comment>
    <comment ref="M291" authorId="0" shapeId="0">
      <text>
        <r>
          <rPr>
            <b/>
            <sz val="8"/>
            <color indexed="81"/>
            <rFont val="Tahoma"/>
            <family val="2"/>
          </rPr>
          <t>USER PC:</t>
        </r>
        <r>
          <rPr>
            <sz val="8"/>
            <color indexed="81"/>
            <rFont val="Tahoma"/>
            <family val="2"/>
          </rPr>
          <t xml:space="preserve">
Jane zbritur 1891 lek mbasi eshte bere nga thesari kalim I pjeshem I fat.nr138 dt 15.12.2010</t>
        </r>
      </text>
    </comment>
    <comment ref="N291" authorId="0" shapeId="0">
      <text>
        <r>
          <rPr>
            <b/>
            <sz val="8"/>
            <color indexed="81"/>
            <rFont val="Tahoma"/>
            <family val="2"/>
          </rPr>
          <t>USER PC:</t>
        </r>
        <r>
          <rPr>
            <sz val="8"/>
            <color indexed="81"/>
            <rFont val="Tahoma"/>
            <family val="2"/>
          </rPr>
          <t xml:space="preserve">
Jane zbritur 1891 lek mbasi eshte bere nga thesari kalim I pjeshem I fat.nr138 dt 15.12.2010</t>
        </r>
      </text>
    </comment>
    <comment ref="M415" authorId="0" shapeId="0">
      <text>
        <r>
          <rPr>
            <b/>
            <sz val="8"/>
            <color indexed="81"/>
            <rFont val="Tahoma"/>
            <family val="2"/>
          </rPr>
          <t>USER PC:</t>
        </r>
        <r>
          <rPr>
            <sz val="8"/>
            <color indexed="81"/>
            <rFont val="Tahoma"/>
            <family val="2"/>
          </rPr>
          <t xml:space="preserve">
Jane zbritur 1891 lek mbasi eshte bere nga thesari kalim I pjeshem I fat.nr138 dt 15.12.2010</t>
        </r>
      </text>
    </comment>
    <comment ref="N415" authorId="0" shapeId="0">
      <text>
        <r>
          <rPr>
            <b/>
            <sz val="8"/>
            <color indexed="81"/>
            <rFont val="Tahoma"/>
            <family val="2"/>
          </rPr>
          <t>USER PC:</t>
        </r>
        <r>
          <rPr>
            <sz val="8"/>
            <color indexed="81"/>
            <rFont val="Tahoma"/>
            <family val="2"/>
          </rPr>
          <t xml:space="preserve">
Jane zbritur 1891 lek mbasi eshte bere nga thesari kalim I pjeshem I fat.nr138 dt 15.12.2010</t>
        </r>
      </text>
    </comment>
  </commentList>
</comments>
</file>

<file path=xl/sharedStrings.xml><?xml version="1.0" encoding="utf-8"?>
<sst xmlns="http://schemas.openxmlformats.org/spreadsheetml/2006/main" count="29344" uniqueCount="3310">
  <si>
    <t>REPUBLIKA E SHQIPERISE</t>
  </si>
  <si>
    <t>Ministria e Punes dhe Çeshtjeve Sociale</t>
  </si>
  <si>
    <t>Sektori i Finances</t>
  </si>
  <si>
    <t>GR</t>
  </si>
  <si>
    <t>TIT</t>
  </si>
  <si>
    <t>KAP</t>
  </si>
  <si>
    <t>ART</t>
  </si>
  <si>
    <t>Nr</t>
  </si>
  <si>
    <t xml:space="preserve">    Emertimi</t>
  </si>
  <si>
    <t>I</t>
  </si>
  <si>
    <t>Te Ardhurat 1+2+3+4</t>
  </si>
  <si>
    <t xml:space="preserve"> </t>
  </si>
  <si>
    <t>Financime nga buxheti</t>
  </si>
  <si>
    <t>te ardhura te tjera</t>
  </si>
  <si>
    <t>Derdhje e te ardhurave te tjera</t>
  </si>
  <si>
    <t>Financime nga burimet e veta</t>
  </si>
  <si>
    <t>II</t>
  </si>
  <si>
    <t>Shpenzimet(Tit.V+IV)</t>
  </si>
  <si>
    <t>Instituc.e Kujdesit Social</t>
  </si>
  <si>
    <t>Shpenzimet e Administrates</t>
  </si>
  <si>
    <t>Pagat e punonjesve</t>
  </si>
  <si>
    <t>te tjera(fondi i vecante)</t>
  </si>
  <si>
    <t>Sigurime Shoqerore</t>
  </si>
  <si>
    <t>III</t>
  </si>
  <si>
    <t>Invenstime</t>
  </si>
  <si>
    <t>Plani 000/L</t>
  </si>
  <si>
    <t>0,11</t>
  </si>
  <si>
    <t>Sherbimi Social Shteteror</t>
  </si>
  <si>
    <t>Drita   Kallçiu</t>
  </si>
  <si>
    <t>Mallra dhe sherbime te tjera</t>
  </si>
  <si>
    <t xml:space="preserve">          </t>
  </si>
  <si>
    <t>Materjale zyre e te pergjitheshme</t>
  </si>
  <si>
    <t>Sherbime nga te tretet</t>
  </si>
  <si>
    <t>60.2.3</t>
  </si>
  <si>
    <t>Shpenzime   transporti</t>
  </si>
  <si>
    <t>Shpenzime udhetimi</t>
  </si>
  <si>
    <t>Shpenz. per mirmb.te zakoneshme</t>
  </si>
  <si>
    <t>Shpenzime per qiramarje</t>
  </si>
  <si>
    <t>Shpenz.per dety.e kompes.legale</t>
  </si>
  <si>
    <t>Shpenzime te tjera operative</t>
  </si>
  <si>
    <t xml:space="preserve">                Honorare Bordi</t>
  </si>
  <si>
    <t>Paga dhe sig.shoqerore</t>
  </si>
  <si>
    <t>Ndihme ne fatkeqesi</t>
  </si>
  <si>
    <t xml:space="preserve">                                    Drejtor i Administrimit te Pergjithshem</t>
  </si>
  <si>
    <t xml:space="preserve">                                                 Zeqir  Mustafaj</t>
  </si>
  <si>
    <t>Shefe Sektorit   Finances</t>
  </si>
  <si>
    <t>Paisje</t>
  </si>
  <si>
    <t>Leke</t>
  </si>
  <si>
    <t xml:space="preserve">FAKTI     </t>
  </si>
  <si>
    <t xml:space="preserve"> Vjetor</t>
  </si>
  <si>
    <t>Nga keto : Honorare TJERA</t>
  </si>
  <si>
    <t xml:space="preserve">      Situacion per zbatimin e planit te shpenzimeve per periudhen Janar -Mars  2007</t>
  </si>
  <si>
    <r>
      <t xml:space="preserve">                    </t>
    </r>
    <r>
      <rPr>
        <b/>
        <u/>
        <sz val="10"/>
        <rFont val="Times New Roman"/>
        <family val="1"/>
      </rPr>
      <t>Situacion per zbatimin e planit te shpenzimeve per periudhen Janar -Shkurt   200</t>
    </r>
    <r>
      <rPr>
        <b/>
        <sz val="10"/>
        <rFont val="Times New Roman"/>
        <family val="1"/>
      </rPr>
      <t>7</t>
    </r>
  </si>
  <si>
    <t>2/mujorit /07</t>
  </si>
  <si>
    <t>3/mujori/ I/07</t>
  </si>
  <si>
    <t>paksime</t>
  </si>
  <si>
    <t>P.vjetor</t>
  </si>
  <si>
    <t>pl.korigj.</t>
  </si>
  <si>
    <t xml:space="preserve">      Situacion per zbatimin e planit te shpenzimeve per periudhen Janar -Maj  2007</t>
  </si>
  <si>
    <t>4/mujori/ I/07</t>
  </si>
  <si>
    <t>Situacion per zbatimin e planit te shpenzimeve per periudhen Janar -Prill  2007</t>
  </si>
  <si>
    <t>15000*53</t>
  </si>
  <si>
    <t>5/mujori/ I/07</t>
  </si>
  <si>
    <t xml:space="preserve">      Situacion per zbatimin e planit te shpenzimeve per periudhen Janar -Qershor  2007</t>
  </si>
  <si>
    <t>6/mujori/ I/07</t>
  </si>
  <si>
    <t>;2=9240+1000=10240</t>
  </si>
  <si>
    <t>janar</t>
  </si>
  <si>
    <t>shkurt</t>
  </si>
  <si>
    <t>mars</t>
  </si>
  <si>
    <t>prill</t>
  </si>
  <si>
    <t>maj</t>
  </si>
  <si>
    <t>qershor</t>
  </si>
  <si>
    <t>korrik</t>
  </si>
  <si>
    <t xml:space="preserve">gusht </t>
  </si>
  <si>
    <t>shtator</t>
  </si>
  <si>
    <t>tetor</t>
  </si>
  <si>
    <t>dhjetor</t>
  </si>
  <si>
    <t xml:space="preserve">nentor  </t>
  </si>
  <si>
    <t>viti 2007</t>
  </si>
  <si>
    <t>Totali</t>
  </si>
  <si>
    <t>5/mujori</t>
  </si>
  <si>
    <t>600+601</t>
  </si>
  <si>
    <t>TOTALI</t>
  </si>
  <si>
    <t>6/mujori</t>
  </si>
  <si>
    <t>plani</t>
  </si>
  <si>
    <t>paksimet</t>
  </si>
  <si>
    <t>pl.korigj</t>
  </si>
  <si>
    <t>Artikulli</t>
  </si>
  <si>
    <t>totali</t>
  </si>
  <si>
    <t>dreka festive</t>
  </si>
  <si>
    <t>600F.Vecanti</t>
  </si>
  <si>
    <t>602VITI</t>
  </si>
  <si>
    <t>7/mujori</t>
  </si>
  <si>
    <t>avancim</t>
  </si>
  <si>
    <t xml:space="preserve">      Situacion per zbatimin e planit te shpenzimeve per periudhen Janar -Korrik  2007</t>
  </si>
  <si>
    <t>7/mujori/ I/07</t>
  </si>
  <si>
    <t>F.vecante</t>
  </si>
  <si>
    <t xml:space="preserve">                                    Drejtor i Sherbimeve te Brendeshme</t>
  </si>
  <si>
    <t>Materjale</t>
  </si>
  <si>
    <t>sherbime</t>
  </si>
  <si>
    <t>transport</t>
  </si>
  <si>
    <t>dieta</t>
  </si>
  <si>
    <t>Mirmbaj</t>
  </si>
  <si>
    <t>shp.tjera</t>
  </si>
  <si>
    <t>Qiramaje</t>
  </si>
  <si>
    <t>Xhemiliu</t>
  </si>
  <si>
    <t xml:space="preserve">      Situacion per zbatimin e planit te shpenzimeve per periudhen Janar -Gusht 2007</t>
  </si>
  <si>
    <t>8/mujori/ I/07</t>
  </si>
  <si>
    <t>8/mujori</t>
  </si>
  <si>
    <t>f.vec</t>
  </si>
  <si>
    <t>9/mujori</t>
  </si>
  <si>
    <t xml:space="preserve">      Situacion per zbatimin e planit te shpenzimeve per periudhen Janar -Shtator 2007</t>
  </si>
  <si>
    <t xml:space="preserve"> 570 shtese</t>
  </si>
  <si>
    <t>9/mujori/ I/07</t>
  </si>
  <si>
    <t>10/mujori</t>
  </si>
  <si>
    <t>10/mujori/ I/07</t>
  </si>
  <si>
    <t xml:space="preserve">      Situacion per zbatimin e planit te shpenzimeve per periudhen Janar -Tetor 2007</t>
  </si>
  <si>
    <t>Pl.vjetor</t>
  </si>
  <si>
    <t>Nent-Dhjetor</t>
  </si>
  <si>
    <t>vjetori</t>
  </si>
  <si>
    <t xml:space="preserve">      Situacion per zbatimin e planit te shpenzimeve per periudhen Janar -Dhjetor 2007</t>
  </si>
  <si>
    <t>12/mujori/07</t>
  </si>
  <si>
    <t>12/mujori</t>
  </si>
  <si>
    <t>11/mujori</t>
  </si>
  <si>
    <t>Plani i</t>
  </si>
  <si>
    <t>ndryshuar</t>
  </si>
  <si>
    <t>Artikujt</t>
  </si>
  <si>
    <t xml:space="preserve">Totali i </t>
  </si>
  <si>
    <t>ndryshimever</t>
  </si>
  <si>
    <t>10/muj</t>
  </si>
  <si>
    <t>Katerina Maneka</t>
  </si>
  <si>
    <t>Llog.ek.</t>
  </si>
  <si>
    <t>UNFPA</t>
  </si>
  <si>
    <t xml:space="preserve">                                                                        REPUBLIKA E SHQIPERISE</t>
  </si>
  <si>
    <t xml:space="preserve">                                               Ministria Punes Çeshtjeve Sociale dhe Shanceve te Barabata</t>
  </si>
  <si>
    <t>Nr ________Prot</t>
  </si>
  <si>
    <t>Tirane, me ____/____/______</t>
  </si>
  <si>
    <t>Enti       Qeverises</t>
  </si>
  <si>
    <t>Gr</t>
  </si>
  <si>
    <t>Kodi</t>
  </si>
  <si>
    <t>KapItulli</t>
  </si>
  <si>
    <t>Kodi        Qarkut</t>
  </si>
  <si>
    <t>Program</t>
  </si>
  <si>
    <t>N/Art</t>
  </si>
  <si>
    <t>Emertimi   I     Shpenzimeve</t>
  </si>
  <si>
    <t>Plani                Vjetor</t>
  </si>
  <si>
    <t>Plani Progresiv</t>
  </si>
  <si>
    <t>Fakti Progresiv</t>
  </si>
  <si>
    <t>115</t>
  </si>
  <si>
    <t>I. Ardhurat Gjithesej</t>
  </si>
  <si>
    <t>Financim I Buxhetit te Shtetit</t>
  </si>
  <si>
    <t>Te Ardhurat te Tjera</t>
  </si>
  <si>
    <t>Te Ardhura nga Sponsorizimet</t>
  </si>
  <si>
    <t>II. SHPENZIME GJITHESEJ</t>
  </si>
  <si>
    <t>Paga,Shperblime e te tjera shpenz personeli</t>
  </si>
  <si>
    <t>Paga te personelit te perhershme</t>
  </si>
  <si>
    <t>Paga baze</t>
  </si>
  <si>
    <t>Raporte mjekesore te paguara nga punedhenesi</t>
  </si>
  <si>
    <t>Shtesa Page per vjetersi</t>
  </si>
  <si>
    <t>Shtese page per funksion</t>
  </si>
  <si>
    <t>Te tjera page te personelit te perhershem</t>
  </si>
  <si>
    <t>Paga te personelit te perkohshem</t>
  </si>
  <si>
    <t>Paga me kontrate per kohe te kufizuar</t>
  </si>
  <si>
    <t>Paga me kontrate per pune sezonale</t>
  </si>
  <si>
    <t>Te tjera paga me kontrate</t>
  </si>
  <si>
    <t>Shperblime</t>
  </si>
  <si>
    <t>Shperblime per rezultate ne pune</t>
  </si>
  <si>
    <t>Shpenzime te tjera personeli</t>
  </si>
  <si>
    <t>Kontributi per sigurime shoq e shendetesis</t>
  </si>
  <si>
    <t>Kontributi per sigurime shoqerore</t>
  </si>
  <si>
    <t>Shpenzime Operative</t>
  </si>
  <si>
    <t>Materiale dhe Sherbime te pergjitheshme</t>
  </si>
  <si>
    <t>Kancelari</t>
  </si>
  <si>
    <t>Materiale per pastrim, disifektim,ngrohje dhe ndricim</t>
  </si>
  <si>
    <t>Materiale per funksionimin e paisjeve te zyres</t>
  </si>
  <si>
    <t>Materiale per funksionimin e paisjeve speciale</t>
  </si>
  <si>
    <t>Blerje dokumentacioni</t>
  </si>
  <si>
    <t>Funizime dhe materiale te tjera zyre te pergjitheshme</t>
  </si>
  <si>
    <t>Materiale dhe Sherbime sociale</t>
  </si>
  <si>
    <t>Uniforma dhe veshje te tjera speciale</t>
  </si>
  <si>
    <t>Plehra kimike,furnitura veterinare,farera,fidanet prod. Agrok</t>
  </si>
  <si>
    <t>Ilace,materiale dhe proteza mjekesore</t>
  </si>
  <si>
    <t>Funizime dhe sherbime me usheqim per mencat</t>
  </si>
  <si>
    <t>Paisje,materiale dhe sherbime ushtarake</t>
  </si>
  <si>
    <t>Paisje per perdorim policor</t>
  </si>
  <si>
    <t>Libra dhe publikime profesionale</t>
  </si>
  <si>
    <t>Materiale per mbrojtien e tokes,bimeve  kafsheve  semundjet</t>
  </si>
  <si>
    <t>Materiale dhe paisje labratorike te sherbimit publik</t>
  </si>
  <si>
    <t>Shpenzime per prodhim dokumentacioni specifik</t>
  </si>
  <si>
    <t>Softe informatike me karaktere te pergjitheshme</t>
  </si>
  <si>
    <t>Te tjera materiale dhe sherbime specifike</t>
  </si>
  <si>
    <t>Sherbime nga te trete</t>
  </si>
  <si>
    <t>Elektriciteti</t>
  </si>
  <si>
    <t>Uje</t>
  </si>
  <si>
    <t>Sherbime telefonike</t>
  </si>
  <si>
    <t>Telefoni Fiks</t>
  </si>
  <si>
    <t>Telefoni Celular</t>
  </si>
  <si>
    <t>Posta dhe sherbimi korrier</t>
  </si>
  <si>
    <t>Sherbimi per ngrohje</t>
  </si>
  <si>
    <t>Sherbime te ISSH per ISKSH</t>
  </si>
  <si>
    <t>Sherbime bankare</t>
  </si>
  <si>
    <t>Sherbime te sigurimit dhe ruajtjes</t>
  </si>
  <si>
    <t>Sherbime te pastrimit dhe gjelberimit</t>
  </si>
  <si>
    <t>Sherbime te printimit dhe publikimit</t>
  </si>
  <si>
    <t>Kosto e tranjnimit dhe seminareve</t>
  </si>
  <si>
    <t>Sherbime te tjera</t>
  </si>
  <si>
    <t>Shpenzime transporti</t>
  </si>
  <si>
    <t>Karburant dhe vaj</t>
  </si>
  <si>
    <t>Pjese kembimi, goma dhe bateri</t>
  </si>
  <si>
    <t>Shpenzimet e siguracionit te mjeteve te transportit</t>
  </si>
  <si>
    <t>Shpenzime te tjera te transporit</t>
  </si>
  <si>
    <t>Udhetim I brendeshem</t>
  </si>
  <si>
    <t>Udhetim jashte shtetit</t>
  </si>
  <si>
    <t>Shpenzime per mirembajtje te zakonshme</t>
  </si>
  <si>
    <t>Shpenzime per miremajtjen e tokave dhe aktiveve natyrore</t>
  </si>
  <si>
    <t>Shpenzime per miremajtjen e objekteve specifike</t>
  </si>
  <si>
    <t>Shpenzime per miremajtjen e objekteve ndertimore</t>
  </si>
  <si>
    <t>Shpenzime per miremajtjen e rrugeve,veprave ujore.rrjeteveetj</t>
  </si>
  <si>
    <t>Shpenz miremajtjen,paisjeve teknike dhe veglave te punes</t>
  </si>
  <si>
    <t>Shpenzime per miremajtjen e mjeteve te transportit</t>
  </si>
  <si>
    <t>Shpenzime per miremajtjen e rezerver shteterore</t>
  </si>
  <si>
    <t>Shpenzime per miremajtjen e paisjeve te zyres</t>
  </si>
  <si>
    <t>Shpenzime per qeramarrje</t>
  </si>
  <si>
    <t>Shpenzime per qeramarrje ambjenesh</t>
  </si>
  <si>
    <t>Shpenzime per qeramarrje per pronat rezideciale</t>
  </si>
  <si>
    <t>Shpenzime per qeramarrje per aparate paisje teknike,makineri</t>
  </si>
  <si>
    <t>Shpenzime per qeramarrje mjetesh tansporti</t>
  </si>
  <si>
    <t xml:space="preserve">Shpenzime te tjera qeraje </t>
  </si>
  <si>
    <t>Shpenzime per detyrime dhe kompensime legale</t>
  </si>
  <si>
    <t>Shpenzime per kompesim per ish te perndjekur politik</t>
  </si>
  <si>
    <t>Shpenzime per kompesim per burgosjet e padrejta</t>
  </si>
  <si>
    <t>Shpenzime kompesim per shpronsim ne te kaluaren</t>
  </si>
  <si>
    <t>Shpenzime  ekzekutim te vendimeve gjygj  largim puna</t>
  </si>
  <si>
    <t>Shpenz per ekzekutim te detyrime kontraktuale te papaguara</t>
  </si>
  <si>
    <t>Shpenzime per kompesime te tjera te papaguara</t>
  </si>
  <si>
    <t>Shpenzime te lidhura me huamarrjen per hua</t>
  </si>
  <si>
    <t>Shpenzime per kuota qe rrjedhin nga detyrimet</t>
  </si>
  <si>
    <t>Shpenzime te tjera me huamarrje</t>
  </si>
  <si>
    <t>Shpenzime per pritje e percjellje</t>
  </si>
  <si>
    <t>Shpenzime gjygjesore</t>
  </si>
  <si>
    <t>Shpen sig ndertesave  kosto sigurimi te ngjashme</t>
  </si>
  <si>
    <t>Shpenzime per honorare</t>
  </si>
  <si>
    <t>Shpen kompesimiparlamentit e zyrtar tjera te zgjedhura</t>
  </si>
  <si>
    <t>Shpenzime per pjesmarrje ne konferenca</t>
  </si>
  <si>
    <t>shpenzime per tatime dhe taksa te paguara nga insitucioni</t>
  </si>
  <si>
    <t>Shpenzime per terheqjen e limitit te arkes</t>
  </si>
  <si>
    <t xml:space="preserve">Numeri I Punonjesve Perkohshem________________ </t>
  </si>
  <si>
    <t xml:space="preserve">Pergjegjes I Finances </t>
  </si>
  <si>
    <t>Shpenzime per aktivitete sociale personelin(Sht.Foshnjes)</t>
  </si>
  <si>
    <t>Projekti I UNFPA</t>
  </si>
  <si>
    <t>Zeqir Mustafaj</t>
  </si>
  <si>
    <t>Shenim: Shpenzimet sipas Kapitujve per Sponsorizime dhe Birësime do te shtohen ne fund te Situacionit.</t>
  </si>
  <si>
    <t xml:space="preserve">Situacioni per Realizimin e Shpenzimeve </t>
  </si>
  <si>
    <t>Kontributi per sigurime shendetesore</t>
  </si>
  <si>
    <t>Te Ardhura nga Birsimet</t>
  </si>
  <si>
    <t xml:space="preserve">Fillim </t>
  </si>
  <si>
    <t>Shtesa</t>
  </si>
  <si>
    <t>Gjendja ne fund</t>
  </si>
  <si>
    <t>Celja</t>
  </si>
  <si>
    <t>Nr.shkreses</t>
  </si>
  <si>
    <t>Shtese</t>
  </si>
  <si>
    <t>Pakesim</t>
  </si>
  <si>
    <t>BUXHETI</t>
  </si>
  <si>
    <t>Fondi celur</t>
  </si>
  <si>
    <t>Fondi mbartur</t>
  </si>
  <si>
    <t>Pakesime</t>
  </si>
  <si>
    <t>eshte  hequr paga e z.P.Ksera qe do te pag.ne shkurt78617lek</t>
  </si>
  <si>
    <t>1025097</t>
  </si>
  <si>
    <t>TOTALI  FONDIT GJITHSEJ per vitin 2011</t>
  </si>
  <si>
    <t>nga 2010</t>
  </si>
  <si>
    <t>per 2011</t>
  </si>
  <si>
    <t>SHERBIMI SOCIAL SHTETEROR</t>
  </si>
  <si>
    <t>UNICEF</t>
  </si>
  <si>
    <t>31.12.2011</t>
  </si>
  <si>
    <t>Celja 2011</t>
  </si>
  <si>
    <t>6  /   230</t>
  </si>
  <si>
    <t>Fondi  vecante</t>
  </si>
  <si>
    <t>Ndihme</t>
  </si>
  <si>
    <t>Kap.6</t>
  </si>
  <si>
    <t>Kapitulli 1</t>
  </si>
  <si>
    <t>Shtesa/Pakesime</t>
  </si>
  <si>
    <t xml:space="preserve">Rakordimi </t>
  </si>
  <si>
    <t>per periudhen Janar  2012</t>
  </si>
  <si>
    <t>ne shkurt</t>
  </si>
  <si>
    <t>tat.nentor</t>
  </si>
  <si>
    <t>tat.shperblime</t>
  </si>
  <si>
    <t>eagle ndalur .ne borderote e M/Janar</t>
  </si>
  <si>
    <t>bord.</t>
  </si>
  <si>
    <t>buxheti</t>
  </si>
  <si>
    <t xml:space="preserve">Numeri I Punonjesve te Perhershem___49____________ </t>
  </si>
  <si>
    <t>Drejtor I Sherbime te Brendshme</t>
  </si>
  <si>
    <t>per periudhen Shkurt  2012</t>
  </si>
  <si>
    <t>Fakti Progresiv Thesar</t>
  </si>
  <si>
    <t>Fakti Progresiv Banke</t>
  </si>
  <si>
    <t>per periudhen Janar-Mars  2012</t>
  </si>
  <si>
    <t>239/2</t>
  </si>
  <si>
    <t>total paga</t>
  </si>
  <si>
    <t>F. v.ngelur</t>
  </si>
  <si>
    <t>Plani vjetor se bashku me ndryshimet deri me date 31.12.2012</t>
  </si>
  <si>
    <t>1981/6,dt.12.01.12</t>
  </si>
  <si>
    <t>Nr.______Prot.</t>
  </si>
  <si>
    <t xml:space="preserve">                                                            REPUBLIKA E SHQIPËRISË</t>
  </si>
  <si>
    <t xml:space="preserve">                              Ministria e Punës, Çështjeve Sociale dhe Shanceve të Barabarta</t>
  </si>
  <si>
    <t xml:space="preserve">       Shërbimi Social Shtetëror</t>
  </si>
  <si>
    <t>Emërtimi i Shpenzimeve</t>
  </si>
  <si>
    <t>Fakti Progresiv Bankë</t>
  </si>
  <si>
    <t xml:space="preserve">Situacioni për Realizimin e Shpenzimeve </t>
  </si>
  <si>
    <t>për periudhën Janar-Prill 2012</t>
  </si>
  <si>
    <t>I. Ardhurat Gjithësej</t>
  </si>
  <si>
    <t>Financim i Buxhetit të Shtetit</t>
  </si>
  <si>
    <t>Të Ardhura të Tjera</t>
  </si>
  <si>
    <t>Të Ardhura nga Birsimet</t>
  </si>
  <si>
    <t>Të Ardhura nga Sponsorizimet</t>
  </si>
  <si>
    <t>II. SHPENZIME GJITHËSEJ</t>
  </si>
  <si>
    <t>Paga,Shpërblime e të tjera shpenz.personeli</t>
  </si>
  <si>
    <t>Paga të personelit të përhershme</t>
  </si>
  <si>
    <t>Paga bazë</t>
  </si>
  <si>
    <t>Raporte mjekësore të paguara nga punëdhënësi</t>
  </si>
  <si>
    <t>Shtesa Page për vjetërsi</t>
  </si>
  <si>
    <t>Shtesë page për funksion</t>
  </si>
  <si>
    <t>Paga të personelit të përkohshëm</t>
  </si>
  <si>
    <t>Paga me kontratë për kohë të kufizuar</t>
  </si>
  <si>
    <t>Paga me kontratë për punë sezonale</t>
  </si>
  <si>
    <t>Të tjera paga me kontratë</t>
  </si>
  <si>
    <t>Shpërblime</t>
  </si>
  <si>
    <t>Shpërblime për rezultate në punë</t>
  </si>
  <si>
    <t>Të tjera paga të personelit të përhershëm</t>
  </si>
  <si>
    <t>Shpenzime të tjera personeli</t>
  </si>
  <si>
    <t>Kontributi për sigurime shoq. e shëndetësore</t>
  </si>
  <si>
    <t>Kontributi për sigurime shoqërore</t>
  </si>
  <si>
    <t>Kontributi për sigurime shëndetësore</t>
  </si>
  <si>
    <t>Materiale dhe Shërbime të përgjithëshme</t>
  </si>
  <si>
    <t>Materiale për pastrim, disifektim,ngrohje dhe ndriçim</t>
  </si>
  <si>
    <t>Materiale për funksionimin e paisjeve të zyrës</t>
  </si>
  <si>
    <t>Materiale për funksionimin e paisjeve speciale</t>
  </si>
  <si>
    <t>Funizime dhe materiale të tjera zyre të përgjithëshme</t>
  </si>
  <si>
    <t>Materiale dhe Shërbime Sociale</t>
  </si>
  <si>
    <t>Uniforma dhe veshje të tjera speciale</t>
  </si>
  <si>
    <t>Plehra kimike,furnitura veterinare,farëra,fidanet prod. Agrok</t>
  </si>
  <si>
    <t>Ilaçe,materiale dhe proteza mjekësore</t>
  </si>
  <si>
    <t>Funizime dhe shërbime me ushqim për mencat</t>
  </si>
  <si>
    <t>Paisje,materiale dhe shërbime ushtarake</t>
  </si>
  <si>
    <t>Paisje për përdorim policor</t>
  </si>
  <si>
    <t>Materiale për mbrojtien e tokës,bimëve,kafshëve nga sëmundj</t>
  </si>
  <si>
    <t>Materiale dhe paisje labratorike të shërbimit publik</t>
  </si>
  <si>
    <t>Shpenzime për prodhim dokumentacioni specifik</t>
  </si>
  <si>
    <t>Softe informatike me karaktere të përgjithëshme</t>
  </si>
  <si>
    <t>Te tjera materiale dhe shërbime specifike</t>
  </si>
  <si>
    <t>Shërbime nga të tretë</t>
  </si>
  <si>
    <t>Ujë</t>
  </si>
  <si>
    <t>Shërbime telefonike</t>
  </si>
  <si>
    <t>Posta dhe shërbimi korrier</t>
  </si>
  <si>
    <t>Shërbimi për ngrohje</t>
  </si>
  <si>
    <t>Shërbime të ISSH për ISKSH</t>
  </si>
  <si>
    <t>Shërbime bankare</t>
  </si>
  <si>
    <t>Shërbime të sigurimit dhe ruajtjes</t>
  </si>
  <si>
    <t>Shërbime të pastrimit dhe gjelbërimit</t>
  </si>
  <si>
    <t>Shërbime të printimit dhe publikimit</t>
  </si>
  <si>
    <t>Shërbime të tjera</t>
  </si>
  <si>
    <t>Pjesë këmbimi, goma dhe bateri</t>
  </si>
  <si>
    <t>Shpenzimet e siguracionit të mjeteve të transportit</t>
  </si>
  <si>
    <t>Shpenzime të tjera të transporit</t>
  </si>
  <si>
    <t>Shpenzime udhëtimi</t>
  </si>
  <si>
    <t>Udhëtim i brëndshëm</t>
  </si>
  <si>
    <t>Udhëtim jashtë shtetit</t>
  </si>
  <si>
    <t>Shpenzime për mirëmbajtje të zakonshme</t>
  </si>
  <si>
    <t>Shpenzime për mirëmajtjen e tokave dhe aktiveve natyrore</t>
  </si>
  <si>
    <t>Shpenzime për mirëmajtjen e objekteve specifike</t>
  </si>
  <si>
    <t>Shpenzime për mirëmajtjen e objekteve ndërtimore</t>
  </si>
  <si>
    <t xml:space="preserve">Shpenzime për mirëmajtjen e rrugëve,veprave ujore.rrjeteve </t>
  </si>
  <si>
    <t>Shpenzime për mirëmajtjen e mjeteve të transportit</t>
  </si>
  <si>
    <t>Shpenzime për mirëmajtjen e rezervës shtetërore</t>
  </si>
  <si>
    <t>Shpenzime për mirëmajtjen e paisjeve të zyrës</t>
  </si>
  <si>
    <t>Shpenzime për qëramarrje</t>
  </si>
  <si>
    <t>Shpenzime për qëramarrje ambjenesh</t>
  </si>
  <si>
    <t>Shpenzime për qëramarrje për pronat rezideciale</t>
  </si>
  <si>
    <t>Shpenzime për qëramarrje për aparate,paisje teknike,makineri</t>
  </si>
  <si>
    <t>Shpenzime për qëramarrje mjetesh tansporti</t>
  </si>
  <si>
    <t xml:space="preserve">Shpenzime të tjera qëraje </t>
  </si>
  <si>
    <t>Shpenzime për detyrime dhe kompensime legale</t>
  </si>
  <si>
    <t>Shpenzime për kompesim për ish të përndjekur politik</t>
  </si>
  <si>
    <t>Shpenzime për kompesim për burgosjet e padrejta</t>
  </si>
  <si>
    <t>Shpenzime kompesim për shpronsim në të kaluarën</t>
  </si>
  <si>
    <t>Shpenzime  ekzekutim të vendimeve gjygj.  largim nga puna</t>
  </si>
  <si>
    <t>Shpenz. për ekzekutim të detyrime kontraktuale të papaguara</t>
  </si>
  <si>
    <t>Shpenzime për kompesime të tjera të papaguara</t>
  </si>
  <si>
    <t>Shpenzime të lidhura me huamarrjen për hua</t>
  </si>
  <si>
    <t>Shpenzime për kuota që rrjedhin nga detyrimet</t>
  </si>
  <si>
    <t>Shpenzime të tjera me huamarrje</t>
  </si>
  <si>
    <t>Shpenzime të tjera operative</t>
  </si>
  <si>
    <t>Shpenzime për pritje e percjellje</t>
  </si>
  <si>
    <t>Shpenzime gjygjësore</t>
  </si>
  <si>
    <t>Shpenzime për aktivitete sociale personelin</t>
  </si>
  <si>
    <t>Shpenz. sig ndërtesave, kosto sigurimi të ngjashme</t>
  </si>
  <si>
    <t>Shpenzime për honorare</t>
  </si>
  <si>
    <t>Shpenz. kompesimi parlamentit e zyrtar tjera të zgjedhura</t>
  </si>
  <si>
    <t>Shpenzime për pjesmarrje në konferenca</t>
  </si>
  <si>
    <t>Shpenzime për tatime dhe taksa të paguara nga insitucioni</t>
  </si>
  <si>
    <t>Shpenzime për tërheqjen e limitit të arkes</t>
  </si>
  <si>
    <t>Projekti i UNFPA</t>
  </si>
  <si>
    <t xml:space="preserve">Numri i Punonjësve Përkohshëm________________ </t>
  </si>
  <si>
    <r>
      <t xml:space="preserve">Numri i Punonjësve të Përhershëm     </t>
    </r>
    <r>
      <rPr>
        <u/>
        <sz val="10"/>
        <rFont val="Arial"/>
        <family val="2"/>
      </rPr>
      <t>49</t>
    </r>
  </si>
  <si>
    <t xml:space="preserve">Përgjegjës i Financës </t>
  </si>
  <si>
    <t xml:space="preserve">   Katerina Maneka</t>
  </si>
  <si>
    <t>Shënim: Shpenzimet sipas Kapitujve për Sponsorizime dhe Birësime do të shtohen në fund të Situacionit.</t>
  </si>
  <si>
    <t>Shpenz. mirëmajtjen e paisjeve teknike dhe veglave të punës</t>
  </si>
  <si>
    <t>Ndihmë e menjëherëshme</t>
  </si>
  <si>
    <t>Tatim dhe sig i muajt nentor 2011</t>
  </si>
  <si>
    <t>Eagle i muajt tetor 2011</t>
  </si>
  <si>
    <t>600+600</t>
  </si>
  <si>
    <t>000/leke</t>
  </si>
  <si>
    <t xml:space="preserve">                                                       Drejtor i Shërbime të Brëndshme</t>
  </si>
  <si>
    <t xml:space="preserve">                                                                       Zeqir Mustafaj</t>
  </si>
  <si>
    <t>Tiranë, më ____/____/______</t>
  </si>
  <si>
    <t>000/lekë</t>
  </si>
  <si>
    <t xml:space="preserve">                           Ministria e Punës, Çështjeve Sociale dhe Shanceve të Barabarta</t>
  </si>
  <si>
    <t xml:space="preserve">                                                                                                          Shërbimi Social Shtetëror</t>
  </si>
  <si>
    <t>shtese per vjetersi</t>
  </si>
  <si>
    <t>shtese per veshtiresi</t>
  </si>
  <si>
    <t>festa zyrtare</t>
  </si>
  <si>
    <t>vali</t>
  </si>
  <si>
    <t>diferenca</t>
  </si>
  <si>
    <t>Numri i Punonjësve Përkohshëm_______</t>
  </si>
  <si>
    <t xml:space="preserve">  Situacioni për Realizimin e Shpenzimeve </t>
  </si>
  <si>
    <t>Festat bordero dhjetor 2011</t>
  </si>
  <si>
    <t>muaji kaluar</t>
  </si>
  <si>
    <t>eagle</t>
  </si>
  <si>
    <t>totali (te tjera)</t>
  </si>
  <si>
    <t>ky muaj</t>
  </si>
  <si>
    <t>zbrita Eagle e Marsit te pasq. ne situac. e Prillit, shtova festat zyrtare 106723 dhe 12925</t>
  </si>
  <si>
    <t>diferencen 32771 e shtova vete tek (te tjera) qe te dali totali 16194165</t>
  </si>
  <si>
    <t>nese heq ato qe shtova kete muaj shuma tek (te tjera) nuk del 290</t>
  </si>
  <si>
    <t>602 muaji kaluar</t>
  </si>
  <si>
    <t>Numri i Punonjësve Përkohshëm ______</t>
  </si>
  <si>
    <t>Plani                Vjetor 000/lekë</t>
  </si>
  <si>
    <t>Projekti per investime</t>
  </si>
  <si>
    <t xml:space="preserve">                  për periudhën Janar  2013</t>
  </si>
  <si>
    <t>Shpenzime të tjera personeli (tel cele)</t>
  </si>
  <si>
    <t>Telefoni Celular  internet</t>
  </si>
  <si>
    <t>Flora Karreci</t>
  </si>
  <si>
    <t>Islam  LOKA</t>
  </si>
  <si>
    <t>Detajimi mujor viti 2013</t>
  </si>
  <si>
    <t>Plani Progresiv 2013</t>
  </si>
  <si>
    <t>000/lek</t>
  </si>
  <si>
    <t xml:space="preserve">Nr shkreses dhe data </t>
  </si>
  <si>
    <t>struktura e shpenzimit</t>
  </si>
  <si>
    <t>Fondit</t>
  </si>
  <si>
    <t>000/ leke</t>
  </si>
  <si>
    <t>Paga  " 600"</t>
  </si>
  <si>
    <t>CELJE</t>
  </si>
  <si>
    <t>shtesat</t>
  </si>
  <si>
    <t>pakesime</t>
  </si>
  <si>
    <t xml:space="preserve"> Shkresa nr 239/2 dt 21.03.2012</t>
  </si>
  <si>
    <t>Fondi I vecante</t>
  </si>
  <si>
    <t>Shtesat gjate vitit</t>
  </si>
  <si>
    <t>Shuma e 600-es</t>
  </si>
  <si>
    <t>Sigurime shoqerore" 601"</t>
  </si>
  <si>
    <t xml:space="preserve">Shtesa  </t>
  </si>
  <si>
    <t>Shuma e 601-it</t>
  </si>
  <si>
    <t>Shuma e 602-it</t>
  </si>
  <si>
    <t>Shpenzime operative</t>
  </si>
  <si>
    <t>Plani I akorduar per vitin 2013</t>
  </si>
  <si>
    <t>Celja e vitit shkresa Nr 73/2 dt 28/01/2013</t>
  </si>
  <si>
    <t>IV</t>
  </si>
  <si>
    <t>Celja e vitit shkresa Nr 73/3 dt 04.02.2013</t>
  </si>
  <si>
    <t>Shpenzime Investime</t>
  </si>
  <si>
    <t>Totali fondit buxhetor   2013</t>
  </si>
  <si>
    <r>
      <t>Materiale për funksionimin e paisjeve të zyrës (</t>
    </r>
    <r>
      <rPr>
        <sz val="6"/>
        <rFont val="Times New Roman CE"/>
      </rPr>
      <t>tonera)</t>
    </r>
  </si>
  <si>
    <t>Te tjera materiale dhe shërbime specifike  (  )</t>
  </si>
  <si>
    <t>Libra dhe publikime profesionale(promocion)</t>
  </si>
  <si>
    <t xml:space="preserve">Telefoni Celular </t>
  </si>
  <si>
    <t>Telefoni Fiks  internet &amp;  web site</t>
  </si>
  <si>
    <t xml:space="preserve">                  për periudhën shkurt  2013</t>
  </si>
  <si>
    <t>Telefoni Fiks  cel  internet</t>
  </si>
  <si>
    <t>Web site</t>
  </si>
  <si>
    <t>Shtesë page për funksion (page grupi)</t>
  </si>
  <si>
    <r>
      <t>Blerje dokumentacioni (</t>
    </r>
    <r>
      <rPr>
        <sz val="6"/>
        <color indexed="10"/>
        <rFont val="Times New Roman CE"/>
      </rPr>
      <t>libreza verb+para-tetra</t>
    </r>
    <r>
      <rPr>
        <sz val="8"/>
        <color indexed="10"/>
        <rFont val="Times New Roman CE"/>
      </rPr>
      <t>)</t>
    </r>
  </si>
  <si>
    <t>Sherbime kompjuterike   194.950  leke</t>
  </si>
  <si>
    <t>Servis Toyota                  105.360   leke</t>
  </si>
  <si>
    <t>Materiale Pastrimi           169440    leke</t>
  </si>
  <si>
    <t>Honorare  te KMPV         223.000   leke</t>
  </si>
  <si>
    <t>Dieta te llogaritura           88.000     leke</t>
  </si>
  <si>
    <t>Totali                               850.750 leke</t>
  </si>
  <si>
    <t>Sherbim kateringu          50.000     leke</t>
  </si>
  <si>
    <t>Mirmb alfes buxhetore    70.000      leke</t>
  </si>
  <si>
    <t>Fatura te papaguara  qe mbarten per muajin qershor 2013</t>
  </si>
  <si>
    <t>Limiti mujor nga qershor  deri ne dhjetor 1.000.000. leke ne muaj</t>
  </si>
  <si>
    <t>Shenim</t>
  </si>
  <si>
    <t xml:space="preserve">            Për periudhën  Janar - Prill 2013</t>
  </si>
  <si>
    <t>Tiranë, më 08.05.2013</t>
  </si>
  <si>
    <r>
      <t xml:space="preserve">Softe informatike me karaktere të përgjith.   </t>
    </r>
    <r>
      <rPr>
        <sz val="8"/>
        <color indexed="10"/>
        <rFont val="Times New Roman"/>
        <family val="1"/>
      </rPr>
      <t>ligje, alfa shtypi</t>
    </r>
  </si>
  <si>
    <r>
      <t xml:space="preserve">Shërbime të tjera </t>
    </r>
    <r>
      <rPr>
        <sz val="8"/>
        <color indexed="10"/>
        <rFont val="Times New Roman CE"/>
      </rPr>
      <t xml:space="preserve"> etj)</t>
    </r>
  </si>
  <si>
    <t xml:space="preserve">            Për periudhën  Janar - Maj  2013</t>
  </si>
  <si>
    <t>Tiranë, më 08.06.2013</t>
  </si>
  <si>
    <t xml:space="preserve">            Për periudhën  Janar - Qershor 2013</t>
  </si>
  <si>
    <t>Tiranë, më 08.07.2013</t>
  </si>
  <si>
    <r>
      <t xml:space="preserve">Shërbime të tjera </t>
    </r>
    <r>
      <rPr>
        <sz val="8"/>
        <color indexed="10"/>
        <rFont val="Times New Roman CE"/>
      </rPr>
      <t xml:space="preserve"> etj)emergjenca</t>
    </r>
  </si>
  <si>
    <r>
      <t>Shpenzime për mirëme objekteve ndërtimore(</t>
    </r>
    <r>
      <rPr>
        <sz val="8"/>
        <color indexed="10"/>
        <rFont val="Times New Roman CE"/>
      </rPr>
      <t>miremb zyra</t>
    </r>
    <r>
      <rPr>
        <sz val="8"/>
        <rFont val="Times New Roman CE"/>
      </rPr>
      <t>)</t>
    </r>
  </si>
  <si>
    <r>
      <t>Funizime dhe materiale të tjera zyre të përgjithëshme(</t>
    </r>
    <r>
      <rPr>
        <sz val="8"/>
        <color indexed="10"/>
        <rFont val="Times New Roman CE"/>
      </rPr>
      <t>perde)</t>
    </r>
  </si>
  <si>
    <r>
      <t>Shpenzime për mirëmajtjen e paisjeve të zyrës(</t>
    </r>
    <r>
      <rPr>
        <sz val="8"/>
        <color indexed="10"/>
        <rFont val="Times New Roman CE"/>
      </rPr>
      <t>kond kompj</t>
    </r>
    <r>
      <rPr>
        <sz val="8"/>
        <rFont val="Times New Roman CE"/>
      </rPr>
      <t>)</t>
    </r>
  </si>
  <si>
    <t xml:space="preserve">            Për periudhën  Janar - Korrik  2013</t>
  </si>
  <si>
    <t>Tiranë, më 08.08.2013</t>
  </si>
  <si>
    <t>Plani limit mujor</t>
  </si>
  <si>
    <t xml:space="preserve">            Për periudhën  Janar -Gusht  2013</t>
  </si>
  <si>
    <t>Tiranë, më 09.09.2013</t>
  </si>
  <si>
    <t>Tiranë, më __.10.2013</t>
  </si>
  <si>
    <t>Shtese plani</t>
  </si>
  <si>
    <t>Shtese plani nr 73/40 dt 09.09.2013</t>
  </si>
  <si>
    <t>pakesim</t>
  </si>
  <si>
    <t>Shpenz. për ekzek. Det. kontraktuale të papaguara(det vit 2012)</t>
  </si>
  <si>
    <t>SITUACIONI I SHPENZIME  BUXHETORE PER INSTITUCIONIN Sherbimi SocialShteteror</t>
  </si>
  <si>
    <t>Shpenzime Operative  TOTALI</t>
  </si>
  <si>
    <t>Drejtor I Drejtorise se Financave</t>
  </si>
  <si>
    <t>Islam LOKA</t>
  </si>
  <si>
    <t xml:space="preserve">Përgj. Sektorit Financës </t>
  </si>
  <si>
    <t>Plani   limit       000/ lek</t>
  </si>
  <si>
    <t>Fakti Progresiv Bankë  ne leke</t>
  </si>
  <si>
    <t>Shërbime nga të tretë  gjithsej</t>
  </si>
  <si>
    <t>Materiale dhe Shërbime Sociale gjithsej</t>
  </si>
  <si>
    <r>
      <t>Blerje dokumentacioni      (</t>
    </r>
    <r>
      <rPr>
        <sz val="10"/>
        <color indexed="10"/>
        <rFont val="Times New Roman CE"/>
      </rPr>
      <t>libreza verb+para-tetra)</t>
    </r>
  </si>
  <si>
    <r>
      <t xml:space="preserve">Materiale për funksionimin e paisjeve të zyrës </t>
    </r>
    <r>
      <rPr>
        <sz val="10"/>
        <rFont val="Times New Roman CE"/>
      </rPr>
      <t xml:space="preserve">    (tonera</t>
    </r>
    <r>
      <rPr>
        <sz val="6"/>
        <rFont val="Times New Roman CE"/>
      </rPr>
      <t>)</t>
    </r>
  </si>
  <si>
    <t>Shpenzime të tjera operative  (  Honorare te mjekeve)</t>
  </si>
  <si>
    <r>
      <t>Shpenzime për mirëmajtjen e paisjeve të zyrës(</t>
    </r>
    <r>
      <rPr>
        <sz val="8"/>
        <color indexed="10"/>
        <rFont val="Times New Roman CE"/>
      </rPr>
      <t>kond kompj etj</t>
    </r>
    <r>
      <rPr>
        <sz val="8"/>
        <rFont val="Times New Roman CE"/>
      </rPr>
      <t>)</t>
    </r>
  </si>
  <si>
    <t xml:space="preserve">            Për periudhën  Janar -14.10.2013  </t>
  </si>
  <si>
    <t>Ku sipas zerave te shpenzimit jane si me poshte  ne leke</t>
  </si>
  <si>
    <t>Plani per shpen. uje dieta, energji, vendi gjyk. telef etjera pa emer</t>
  </si>
  <si>
    <t>SITUACIONI PËR REALIZIMIN E SHPENZIMEVE</t>
  </si>
  <si>
    <t>Për periudhen Janar - Shtator  2013</t>
  </si>
  <si>
    <r>
      <t>Materiale për funksionimin e paisjeve të zyrës (</t>
    </r>
    <r>
      <rPr>
        <sz val="6"/>
        <rFont val="Times New Roman"/>
        <family val="1"/>
      </rPr>
      <t>tonera)</t>
    </r>
  </si>
  <si>
    <r>
      <t>Blerje dokumentacioni (</t>
    </r>
    <r>
      <rPr>
        <sz val="6"/>
        <color indexed="10"/>
        <rFont val="Times New Roman"/>
        <family val="1"/>
      </rPr>
      <t>libreza verb+para-tetra</t>
    </r>
    <r>
      <rPr>
        <sz val="8"/>
        <color indexed="10"/>
        <rFont val="Times New Roman"/>
        <family val="1"/>
      </rPr>
      <t>)</t>
    </r>
  </si>
  <si>
    <r>
      <t>Funizime dhe materiale të tjera zyre të përgjithëshme(</t>
    </r>
    <r>
      <rPr>
        <sz val="8"/>
        <color indexed="10"/>
        <rFont val="Times New Roman"/>
        <family val="1"/>
      </rPr>
      <t>perde)</t>
    </r>
  </si>
  <si>
    <r>
      <t xml:space="preserve">Shërbime të tjera </t>
    </r>
    <r>
      <rPr>
        <sz val="8"/>
        <color indexed="10"/>
        <rFont val="Times New Roman"/>
        <family val="1"/>
      </rPr>
      <t xml:space="preserve"> etj)emergjenca</t>
    </r>
  </si>
  <si>
    <r>
      <t>Shpenzime për mirëme objekteve ndërtimore(</t>
    </r>
    <r>
      <rPr>
        <sz val="8"/>
        <color indexed="10"/>
        <rFont val="Times New Roman"/>
        <family val="1"/>
      </rPr>
      <t>miremb zyra</t>
    </r>
    <r>
      <rPr>
        <sz val="8"/>
        <rFont val="Times New Roman"/>
        <family val="1"/>
      </rPr>
      <t>)</t>
    </r>
  </si>
  <si>
    <r>
      <t>Shpenzime për mirëmajtjen e paisjeve të zyrës(</t>
    </r>
    <r>
      <rPr>
        <sz val="8"/>
        <color indexed="10"/>
        <rFont val="Times New Roman"/>
        <family val="1"/>
      </rPr>
      <t>kond kompj</t>
    </r>
    <r>
      <rPr>
        <sz val="8"/>
        <rFont val="Times New Roman"/>
        <family val="1"/>
      </rPr>
      <t>)</t>
    </r>
  </si>
  <si>
    <r>
      <t xml:space="preserve">Numri i Punonjësve të Përhershëm     </t>
    </r>
    <r>
      <rPr>
        <u/>
        <sz val="10"/>
        <rFont val="Times New Roman"/>
        <family val="1"/>
      </rPr>
      <t>49</t>
    </r>
  </si>
  <si>
    <t xml:space="preserve">    Islam  LOKA</t>
  </si>
  <si>
    <t>Drejtori I Financës</t>
  </si>
  <si>
    <t>Për periudhën Janar - Tetor  2013</t>
  </si>
  <si>
    <t>Tiranë, më __.11.2013</t>
  </si>
  <si>
    <t>Për periudhën Janar - Nëntor,  2013</t>
  </si>
  <si>
    <t>Tiranë, më __.12.2013</t>
  </si>
  <si>
    <t>Për periudhën Janar - Dhjetor,  2013</t>
  </si>
  <si>
    <r>
      <t xml:space="preserve">Softe informatike me karaktere të përgjith.   </t>
    </r>
    <r>
      <rPr>
        <sz val="8"/>
        <color indexed="10"/>
        <rFont val="Times New Roman"/>
        <family val="1"/>
      </rPr>
      <t xml:space="preserve">ligje, alfa </t>
    </r>
  </si>
  <si>
    <t>Tiranë, më __.01.2014</t>
  </si>
  <si>
    <t>Detajimi mujor viti 2014</t>
  </si>
  <si>
    <t xml:space="preserve">Plani Progresiv 2014 </t>
  </si>
  <si>
    <t>SHUMA PLANIT BUXHETOR (Koherente &amp; kapitale)</t>
  </si>
  <si>
    <t>12/muaj</t>
  </si>
  <si>
    <t>11/muaj</t>
  </si>
  <si>
    <t>10/muaj</t>
  </si>
  <si>
    <t>9/muaj</t>
  </si>
  <si>
    <t>8/muaj</t>
  </si>
  <si>
    <t>7/muaj</t>
  </si>
  <si>
    <t>6/muaj</t>
  </si>
  <si>
    <t>5/muaj</t>
  </si>
  <si>
    <t>4/muaj</t>
  </si>
  <si>
    <t>3/muaj</t>
  </si>
  <si>
    <t>2/muaj</t>
  </si>
  <si>
    <t>Detajimi mujor viti 2015</t>
  </si>
  <si>
    <t>Plani Progresiv 2015</t>
  </si>
  <si>
    <t>Kodi: 1025097</t>
  </si>
  <si>
    <t>Pasqyra mbi të dhënat për treguesit buxhetor për programin Shërbimi Social Shtetëror Dhjetor 2014</t>
  </si>
  <si>
    <t>SITUACION   SHPENZIME   JANAR  -  DHJETOR 2014</t>
  </si>
  <si>
    <t>KOD</t>
  </si>
  <si>
    <t>PROG</t>
  </si>
  <si>
    <t>PROJEKT</t>
  </si>
  <si>
    <t>PLAN VJETOR</t>
  </si>
  <si>
    <t>Plani Thesarit</t>
  </si>
  <si>
    <t>SHP THES</t>
  </si>
  <si>
    <t>DEBI 466</t>
  </si>
  <si>
    <t>KREDI 4662104</t>
  </si>
  <si>
    <t>SIG+TAT</t>
  </si>
  <si>
    <t>XHIR BRENDSH</t>
  </si>
  <si>
    <t>FAT TE PAPAGUARA</t>
  </si>
  <si>
    <t>BANKA</t>
  </si>
  <si>
    <t>DIF SHPENZ -BANKA</t>
  </si>
  <si>
    <t>NR PUNONJ</t>
  </si>
  <si>
    <t>L</t>
  </si>
  <si>
    <t>N</t>
  </si>
  <si>
    <t>M</t>
  </si>
  <si>
    <t>O=I+J-K-L-M-N</t>
  </si>
  <si>
    <t>P=I-O</t>
  </si>
  <si>
    <t>PL</t>
  </si>
  <si>
    <t>FA</t>
  </si>
  <si>
    <t>-</t>
  </si>
  <si>
    <t>Ministria e Mirëqenies  Sociale dhe Rinisë</t>
  </si>
  <si>
    <t xml:space="preserve">SHËRBIMI SOCIAL SHTETËROR  </t>
  </si>
  <si>
    <t>Objekti i Prokurimit</t>
  </si>
  <si>
    <t xml:space="preserve">                       Fondi i limit per investime</t>
  </si>
  <si>
    <t xml:space="preserve"> Fondi i limit  per korente</t>
  </si>
  <si>
    <t>Koha e zhvillimit te tenderit</t>
  </si>
  <si>
    <t>Proçedura e prokurimit</t>
  </si>
  <si>
    <t>Burimi i financimit</t>
  </si>
  <si>
    <t>Kancelari dhe të tjera zyre</t>
  </si>
  <si>
    <t>Gjatë vitit</t>
  </si>
  <si>
    <t>Blerje e vogel</t>
  </si>
  <si>
    <t>Buxheti i Shtetit</t>
  </si>
  <si>
    <t>Tonera për printerat</t>
  </si>
  <si>
    <t>Blerje karburanti</t>
  </si>
  <si>
    <t>Tender  i përqëndruar Min.Brëndshme</t>
  </si>
  <si>
    <t>Mirëmbajtje godine dhe riparim 5 tualeteve te SH S SH</t>
  </si>
  <si>
    <t>Blerje e vogël</t>
  </si>
  <si>
    <t>Blerje pjesë këmbimi dhe riparim,siguracion makine</t>
  </si>
  <si>
    <t>Shërbime printimi  e fotokopje</t>
  </si>
  <si>
    <t>Fondi eshte prokuruar</t>
  </si>
  <si>
    <t xml:space="preserve">Dizefektim 3D-ve </t>
  </si>
  <si>
    <t>Tender kërkesë për propozim</t>
  </si>
  <si>
    <t xml:space="preserve">Materiale pastrimi dhe  detergjent </t>
  </si>
  <si>
    <t>Të tjera materiale per funksionimin e zyrave</t>
  </si>
  <si>
    <t>Konf.kompj.antivirus,mirembajtje programesh</t>
  </si>
  <si>
    <t>Shërbim Roje Civile</t>
  </si>
  <si>
    <t>Detyrime të prapambetura energji postë etje</t>
  </si>
  <si>
    <t>Udhetim e dieta</t>
  </si>
  <si>
    <t xml:space="preserve">Listë pagesë </t>
  </si>
  <si>
    <t>Vendime gjykate</t>
  </si>
  <si>
    <t>Ujë,energji,tel, posta abonim  të tjera sherbime</t>
  </si>
  <si>
    <t>Honorare KMPV</t>
  </si>
  <si>
    <t>Listë pagesë sipas  VKM</t>
  </si>
  <si>
    <t xml:space="preserve">Shuma </t>
  </si>
  <si>
    <t>Realizimet Janar - Dhjetor 2015</t>
  </si>
  <si>
    <t>Fondi i limit per investime</t>
  </si>
  <si>
    <t xml:space="preserve"> Fondi i limit  ( pa TVSH )</t>
  </si>
  <si>
    <t>Vlera e kontrates ( me TVSH )</t>
  </si>
  <si>
    <t>Lloji i procedurës së prokurimit</t>
  </si>
  <si>
    <t>Koha e zhvillimit të procedurës</t>
  </si>
  <si>
    <t>Operatori ekonomik i Kontraktuar</t>
  </si>
  <si>
    <t>Blerje Hotelerie Paisje</t>
  </si>
  <si>
    <t>Gjate viti</t>
  </si>
  <si>
    <t>Vllaznia SHPK, Paera SHPK,Sinteza CO, M. Lezha</t>
  </si>
  <si>
    <t>Blerje Paisje Diellore</t>
  </si>
  <si>
    <t>Korrik</t>
  </si>
  <si>
    <t>HIDROSISTEM</t>
  </si>
  <si>
    <t>Blerje me vlerë të vogël</t>
  </si>
  <si>
    <t>"Office CENTER"</t>
  </si>
  <si>
    <t>Mirëmbajtje dhe supervizin e punimeve</t>
  </si>
  <si>
    <t xml:space="preserve">ALB Supervizim  </t>
  </si>
  <si>
    <t>"Mitat Lika", Insig SHA</t>
  </si>
  <si>
    <t>"AL - PRINT"</t>
  </si>
  <si>
    <t xml:space="preserve">Pastrime SILVIO </t>
  </si>
  <si>
    <t>Adidas ONE</t>
  </si>
  <si>
    <t>Shpëtim Pupla</t>
  </si>
  <si>
    <t>IMB</t>
  </si>
  <si>
    <t xml:space="preserve">Shtesë kontrate +Tender i hapur </t>
  </si>
  <si>
    <t>"N.S.N Security"</t>
  </si>
  <si>
    <t xml:space="preserve">Të ndryshëm </t>
  </si>
  <si>
    <t>OSHEE, Posta Shqiptare,etje</t>
  </si>
  <si>
    <t>VKM 418 dt 27/06/2012</t>
  </si>
  <si>
    <t>Pasqyra mbi të dhënat për tregusit buxhetor për programin Shërbimi Social Shtetëror Dhjetor 2015</t>
  </si>
  <si>
    <t>SITUACION   SHPENZIME DHJETOR 2015</t>
  </si>
  <si>
    <t>XHIR B</t>
  </si>
  <si>
    <t>Fat lik 16</t>
  </si>
  <si>
    <t>FAT TE LIKUJDUARA NE FILLIM VITI</t>
  </si>
  <si>
    <t>Regjistri i realizimeve të prokurimit publik</t>
  </si>
  <si>
    <t>Për vitin:</t>
  </si>
  <si>
    <t>2018</t>
  </si>
  <si>
    <t>Autoriteti Kontraktor:</t>
  </si>
  <si>
    <t>Shtëpia e të Moshurve Tiranë</t>
  </si>
  <si>
    <t>Nr.</t>
  </si>
  <si>
    <t>Kodet CPV</t>
  </si>
  <si>
    <t>Fondi Limit</t>
  </si>
  <si>
    <t>LLoji i Procedures se Prokurimit</t>
  </si>
  <si>
    <t>Vlera e kontratës</t>
  </si>
  <si>
    <t>Data e zhvillimit te procedures se prokurimit</t>
  </si>
  <si>
    <t>Operatori Ekonomik i shpallur fitues</t>
  </si>
  <si>
    <t>NIPT i Operatorit Ekonomik</t>
  </si>
  <si>
    <r>
      <rPr>
        <b/>
        <sz val="10"/>
        <color rgb="FFFFFFFF"/>
        <rFont val="Arial"/>
        <family val="2"/>
      </rPr>
      <t xml:space="preserve">Data e Publikimit
</t>
    </r>
  </si>
  <si>
    <r>
      <rPr>
        <b/>
        <sz val="10"/>
        <color rgb="FFFFFFFF"/>
        <rFont val="Arial"/>
        <family val="2"/>
      </rPr>
      <t xml:space="preserve">Modifikuar
</t>
    </r>
  </si>
  <si>
    <t>amendim artikuj ushqimore</t>
  </si>
  <si>
    <t xml:space="preserve"> Produkte bujqësore, blegtorale, peshkimi, pylltarie dhe produkte të përafërta me to</t>
  </si>
  <si>
    <t>05/03/2018 12:00 AM</t>
  </si>
  <si>
    <t xml:space="preserve">NELSA  </t>
  </si>
  <si>
    <t>J71601012S</t>
  </si>
  <si>
    <t>30/05/2018 02:41 PM</t>
  </si>
  <si>
    <t>JO</t>
  </si>
  <si>
    <t>amendim medigamente</t>
  </si>
  <si>
    <t xml:space="preserve"> Produkte farmaceutike</t>
  </si>
  <si>
    <t/>
  </si>
  <si>
    <t xml:space="preserve">" SPAHIU -  GJANC "    SHPK  </t>
  </si>
  <si>
    <t>K43825004R</t>
  </si>
  <si>
    <t>10/05/2018 03:11 PM</t>
  </si>
  <si>
    <t>blerje artikuj ushqimore</t>
  </si>
  <si>
    <t>Negotiated without Notice</t>
  </si>
  <si>
    <t>31/05/2018 10:30 AM</t>
  </si>
  <si>
    <t xml:space="preserve">EGLENTI </t>
  </si>
  <si>
    <t>L28405201R</t>
  </si>
  <si>
    <t>31/05/2018 08:00 AM</t>
  </si>
  <si>
    <t>Blerje karburante per automjete</t>
  </si>
  <si>
    <t xml:space="preserve"> Karburant diesel</t>
  </si>
  <si>
    <t>Small Value</t>
  </si>
  <si>
    <t>31/07/2018 12:30 PM</t>
  </si>
  <si>
    <t xml:space="preserve">"GEGA CENTER GKG"  </t>
  </si>
  <si>
    <t>K66801001T</t>
  </si>
  <si>
    <t>03/07/2018 03:07 PM</t>
  </si>
  <si>
    <t>Blerje uje me bote</t>
  </si>
  <si>
    <t xml:space="preserve"> Ujë i pijshëm</t>
  </si>
  <si>
    <t xml:space="preserve">Vjollca Osmani </t>
  </si>
  <si>
    <t>L61418009J</t>
  </si>
  <si>
    <t>06/08/2018 09:02 AM</t>
  </si>
  <si>
    <t>detergjente</t>
  </si>
  <si>
    <t xml:space="preserve"> Detergjentë</t>
  </si>
  <si>
    <t>25/04/2018 11:30 AM</t>
  </si>
  <si>
    <t xml:space="preserve">Stargate </t>
  </si>
  <si>
    <t>L72218034K</t>
  </si>
  <si>
    <t>15/01/2018 12:57 PM</t>
  </si>
  <si>
    <t>PO</t>
  </si>
  <si>
    <t>kanceleri</t>
  </si>
  <si>
    <t xml:space="preserve"> Artikuj të ndryshem</t>
  </si>
  <si>
    <t>11/04/2018 12:00 PM</t>
  </si>
  <si>
    <t xml:space="preserve">Aurel Brozi </t>
  </si>
  <si>
    <t>L21507021S</t>
  </si>
  <si>
    <t>Lyerje godine ambient te brenshem dhe te jashtem</t>
  </si>
  <si>
    <t xml:space="preserve"> Lyerje ndërtesash</t>
  </si>
  <si>
    <t>22/08/2018 12:30 PM</t>
  </si>
  <si>
    <t xml:space="preserve">"DOKSANI - G" </t>
  </si>
  <si>
    <t>L21809501H</t>
  </si>
  <si>
    <t>07/08/2018 03:14 PM</t>
  </si>
  <si>
    <t>Materiale mirembajtje ndertese</t>
  </si>
  <si>
    <t xml:space="preserve"> Materiale elektrike, Materiale hidraulike dhe ngrohje</t>
  </si>
  <si>
    <t xml:space="preserve">DEFRIM DYRMISHI  </t>
  </si>
  <si>
    <t>K31603004L</t>
  </si>
  <si>
    <t>23/07/2018 02:47 PM</t>
  </si>
  <si>
    <t>medigamente</t>
  </si>
  <si>
    <t>13/03/2018 01:00 PM</t>
  </si>
  <si>
    <t xml:space="preserve">SPAHIU  </t>
  </si>
  <si>
    <t>J91524009U</t>
  </si>
  <si>
    <t>06/03/2018 12:50 PM</t>
  </si>
  <si>
    <t>mirembajtje  Godine Nr 2</t>
  </si>
  <si>
    <t xml:space="preserve"> Riparim dhe renovim</t>
  </si>
  <si>
    <t>15/08/2018 10:30 AM</t>
  </si>
  <si>
    <t xml:space="preserve">MELA.  </t>
  </si>
  <si>
    <t>K62320011G</t>
  </si>
  <si>
    <t>09/08/2018 02:44 PM</t>
  </si>
  <si>
    <t>mirembajtje godine</t>
  </si>
  <si>
    <t xml:space="preserve"> Shërbime mirëmbajtjeje</t>
  </si>
  <si>
    <t>16/05/2018 12:00 PM</t>
  </si>
  <si>
    <t xml:space="preserve">ALVORA </t>
  </si>
  <si>
    <t>K89105501K</t>
  </si>
  <si>
    <t>15/01/2018 12:56 PM</t>
  </si>
  <si>
    <t>13/06/2018 10:30 AM</t>
  </si>
  <si>
    <t>14/06/2018 12:17 PM</t>
  </si>
  <si>
    <t>Riparim mirembajtje elektroshtepiake</t>
  </si>
  <si>
    <t xml:space="preserve"> Frigoriferë, Televizion dixhitalë</t>
  </si>
  <si>
    <t xml:space="preserve">Blerina Osmani </t>
  </si>
  <si>
    <t>L81827018V</t>
  </si>
  <si>
    <t>27/08/2018 09:52 AM</t>
  </si>
  <si>
    <t>Sherbim dhe mirembajtje lulishteje</t>
  </si>
  <si>
    <t xml:space="preserve"> Produkte bujqësore dhe kopshtarie</t>
  </si>
  <si>
    <t>04/05/2018 01:10 PM</t>
  </si>
  <si>
    <t>Sherbim dizinfektim  ambiente te brenshem dhe te jashtem godine</t>
  </si>
  <si>
    <t xml:space="preserve"> Dizinfektues</t>
  </si>
  <si>
    <t xml:space="preserve">NAIM ALLMETA </t>
  </si>
  <si>
    <t>K31506060K</t>
  </si>
  <si>
    <t>04/07/2018 10:38 AM</t>
  </si>
  <si>
    <t>Sherbin ne kanalin e ujrave te zeza</t>
  </si>
  <si>
    <t xml:space="preserve"> Produkte të ndryshme minerale jo-metalike</t>
  </si>
  <si>
    <t>04/07/2018 10:31 AM</t>
  </si>
  <si>
    <t>Shpenzime varrimi</t>
  </si>
  <si>
    <t xml:space="preserve"> Shërbime varrezash</t>
  </si>
  <si>
    <t xml:space="preserve">FUNERAL - 2000  </t>
  </si>
  <si>
    <t>K11512004F</t>
  </si>
  <si>
    <t>31/08/2018 10:56 AM</t>
  </si>
  <si>
    <t>Totali Janar Gusht 2018</t>
  </si>
  <si>
    <t xml:space="preserve">Drejtore </t>
  </si>
  <si>
    <t>Aida ÇAVO</t>
  </si>
  <si>
    <t>Shtëpia e të Moshurve Gjirokastër</t>
  </si>
  <si>
    <t xml:space="preserve">Data e Publikimit
</t>
  </si>
  <si>
    <t xml:space="preserve">Modifikuar
</t>
  </si>
  <si>
    <t>Berberi për banorët</t>
  </si>
  <si>
    <t xml:space="preserve"> Krëhëra, Gërshërë, Makinë qethëse flokësh</t>
  </si>
  <si>
    <t xml:space="preserve">EVANTHI GERXOLLI  </t>
  </si>
  <si>
    <t>K32513654Q</t>
  </si>
  <si>
    <t>06/08/2018 10:06 AM</t>
  </si>
  <si>
    <t>Bojra për lyerje</t>
  </si>
  <si>
    <t xml:space="preserve"> Bojra</t>
  </si>
  <si>
    <t xml:space="preserve">Ferdinant Kabuci </t>
  </si>
  <si>
    <t>L22608602M</t>
  </si>
  <si>
    <t>26/04/2018 10:15 AM</t>
  </si>
  <si>
    <t>Dezinfektim dhe deratizim i ambienteve</t>
  </si>
  <si>
    <t xml:space="preserve">FERIT MYFTARI  </t>
  </si>
  <si>
    <t>K32508611I</t>
  </si>
  <si>
    <t>16/04/2018 01:50 PM</t>
  </si>
  <si>
    <t>Gaz gatimi dhe oksigjen për banorët me oksigjen</t>
  </si>
  <si>
    <t xml:space="preserve"> Gaz natyror, Oksigjen</t>
  </si>
  <si>
    <t xml:space="preserve">GEAM SH.P.K  </t>
  </si>
  <si>
    <t>K42905201V</t>
  </si>
  <si>
    <t>06/08/2018 11:41 AM</t>
  </si>
  <si>
    <t>Goma, bateri, pjesë këmbimi</t>
  </si>
  <si>
    <t xml:space="preserve"> Pjesë këmbimi për automjete, furgonë dhe makina transporti mallrash</t>
  </si>
  <si>
    <t xml:space="preserve">LUAN NORRA  </t>
  </si>
  <si>
    <t>K32508616C</t>
  </si>
  <si>
    <t>16/04/2018 01:52 PM</t>
  </si>
  <si>
    <t xml:space="preserve"> Dosje, Toner për makinat fotokopjuese, Stilolapsa, Lapsa, Pineska, Kapese letrash, Hapese letrash, Letër printimi, Zarfa</t>
  </si>
  <si>
    <t xml:space="preserve">ALKETA LAZO </t>
  </si>
  <si>
    <t>L63627601N</t>
  </si>
  <si>
    <t>30/04/2018 11:03 AM</t>
  </si>
  <si>
    <t>Karburant</t>
  </si>
  <si>
    <t xml:space="preserve"> Naftë</t>
  </si>
  <si>
    <t xml:space="preserve">AP OIL </t>
  </si>
  <si>
    <t>L73318601G</t>
  </si>
  <si>
    <t>26/04/2018 10:02 AM</t>
  </si>
  <si>
    <t>Këpucë për banorët</t>
  </si>
  <si>
    <t xml:space="preserve"> Këpucë</t>
  </si>
  <si>
    <t xml:space="preserve">BEQIR GJIKA  </t>
  </si>
  <si>
    <t>K32513766W</t>
  </si>
  <si>
    <t>26/04/2018 10:05 AM</t>
  </si>
  <si>
    <t>Lyerje dhe restaurim i dhomave të banorëve</t>
  </si>
  <si>
    <t xml:space="preserve"> Restaurime</t>
  </si>
  <si>
    <t>19/06/2018 09:00 AM</t>
  </si>
  <si>
    <t xml:space="preserve">Albert Golemi </t>
  </si>
  <si>
    <t>K92613601M</t>
  </si>
  <si>
    <t>01/06/2018 10:08 AM</t>
  </si>
  <si>
    <t>Lyerje e kangjellave rrethuese</t>
  </si>
  <si>
    <t xml:space="preserve"> Lyerje strukturash</t>
  </si>
  <si>
    <t xml:space="preserve">VASILLAQ NASTO </t>
  </si>
  <si>
    <t>L82729603T</t>
  </si>
  <si>
    <t>06/08/2018 10:09 AM</t>
  </si>
  <si>
    <t>Lyerje fasade ambienti</t>
  </si>
  <si>
    <t>17/07/2018 09:00 AM</t>
  </si>
  <si>
    <t>28/03/2018 03:49 PM</t>
  </si>
  <si>
    <t>Materiale elektrike</t>
  </si>
  <si>
    <t xml:space="preserve"> Siguresa, kapele, ndezës dhe detonatorë elektrik, Kuti siguresash, Siguresa, Llamba</t>
  </si>
  <si>
    <t xml:space="preserve">VANIVA </t>
  </si>
  <si>
    <t>L02602603L</t>
  </si>
  <si>
    <t>30/04/2018 11:00 AM</t>
  </si>
  <si>
    <t>Materiale hidraulike</t>
  </si>
  <si>
    <t xml:space="preserve"> Materiale hidraulike, Lavamanë</t>
  </si>
  <si>
    <t>30/04/2018 11:07 AM</t>
  </si>
  <si>
    <t>Materiale pastrimi</t>
  </si>
  <si>
    <t xml:space="preserve"> Sfungjer, Klor, Qese mbledhëse, Sapun, Fshesa, Detergjentë, Detergjentë për enë</t>
  </si>
  <si>
    <t>21/03/2018 02:00 PM</t>
  </si>
  <si>
    <t xml:space="preserve">T&amp;M CHEMICAL DISTRIBUTION </t>
  </si>
  <si>
    <t>L41823009V</t>
  </si>
  <si>
    <t>19/03/2018 10:37 AM</t>
  </si>
  <si>
    <t>Medikamente</t>
  </si>
  <si>
    <t xml:space="preserve">ZHANETA SENO  </t>
  </si>
  <si>
    <t>K32514718I</t>
  </si>
  <si>
    <t>30/08/2018 01:29 PM</t>
  </si>
  <si>
    <t>Ndriçues dhe abazhure</t>
  </si>
  <si>
    <t xml:space="preserve"> Ndriçues tavani</t>
  </si>
  <si>
    <t>06/08/2018 10:08 AM</t>
  </si>
  <si>
    <t>Pajisje frigoriferike</t>
  </si>
  <si>
    <t xml:space="preserve"> Frigorifera dhe ngrirës</t>
  </si>
  <si>
    <t xml:space="preserve">ALFRED SHAMETAJ </t>
  </si>
  <si>
    <t>L53604601M</t>
  </si>
  <si>
    <t>Pajisje kompjuterike dhe riparim pajisjesh</t>
  </si>
  <si>
    <t xml:space="preserve"> Pajisje kompjuterike dhe furnizime, Mirëmbajtje dhe riparim i pajisjeve kompjuterike</t>
  </si>
  <si>
    <t xml:space="preserve">PC STORE </t>
  </si>
  <si>
    <t>L01606034A</t>
  </si>
  <si>
    <t>06/08/2018 10:12 AM</t>
  </si>
  <si>
    <t>Pajisje zyrash</t>
  </si>
  <si>
    <t xml:space="preserve"> Varëse rrobash ose mbajtëse, Karrige, Tavolina pune, Dollapë organizimi dosjesh</t>
  </si>
  <si>
    <t xml:space="preserve">Niko Dobro </t>
  </si>
  <si>
    <t>L13412601T</t>
  </si>
  <si>
    <t>30/08/2018 01:30 PM</t>
  </si>
  <si>
    <t>Pampersa për banorët</t>
  </si>
  <si>
    <t xml:space="preserve"> Pelena njëpërdorimshe</t>
  </si>
  <si>
    <t>EXD SHPK</t>
  </si>
  <si>
    <t>L11313013E</t>
  </si>
  <si>
    <t>26/04/2018 10:07 AM</t>
  </si>
  <si>
    <t>Perde për dhomat</t>
  </si>
  <si>
    <t xml:space="preserve"> Perde, perde të trasha, velenca dhe grila prej tekstili</t>
  </si>
  <si>
    <t xml:space="preserve">SOFIA MYFTARI  </t>
  </si>
  <si>
    <t>K42611766Q</t>
  </si>
  <si>
    <t>06/08/2018 10:11 AM</t>
  </si>
  <si>
    <t>Restaurim lavanterie</t>
  </si>
  <si>
    <t xml:space="preserve">ERZEL-2016 </t>
  </si>
  <si>
    <t>L62522602O</t>
  </si>
  <si>
    <t>06/08/2018 10:05 AM</t>
  </si>
  <si>
    <t>Restaurim rrjeti elektrik</t>
  </si>
  <si>
    <t xml:space="preserve"> Çelësa tokëzimi, Priza dhe spina, Kabllo të tensionit të ulët dhe të mesëm, Llamba, Rezistenca për ngrohje elektrike</t>
  </si>
  <si>
    <t>27/03/2018 01:00 PM</t>
  </si>
  <si>
    <t>11/01/2018 10:31 AM</t>
  </si>
  <si>
    <t>Riparim çatie</t>
  </si>
  <si>
    <t xml:space="preserve"> Riparim çatie</t>
  </si>
  <si>
    <t xml:space="preserve">TRENDELINA CAFAJ  </t>
  </si>
  <si>
    <t>K63411627L</t>
  </si>
  <si>
    <t>06/08/2018 10:10 AM</t>
  </si>
  <si>
    <t>Rroba pune për punonjësit</t>
  </si>
  <si>
    <t xml:space="preserve"> Kominoshe, Kostume, Xhaketa</t>
  </si>
  <si>
    <t>06/08/2018 10:07 AM</t>
  </si>
  <si>
    <t>Shkallë emergjence për godinën e institucionit</t>
  </si>
  <si>
    <t xml:space="preserve"> Shkalle , Shkallë zjarri</t>
  </si>
  <si>
    <t>Shpenzime hidraulike</t>
  </si>
  <si>
    <t xml:space="preserve"> Çezma, cocks dhe valvulat, Pjesë dhe aksesorë për makineri, Lavamanë</t>
  </si>
  <si>
    <t>09/05/2018 08:30 AM</t>
  </si>
  <si>
    <t xml:space="preserve">OREA  </t>
  </si>
  <si>
    <t>J62903770O</t>
  </si>
  <si>
    <t>Shtrim pllakash në dy kate të institucionit</t>
  </si>
  <si>
    <t xml:space="preserve"> Pllaka (ndërtimi)</t>
  </si>
  <si>
    <t>31/05/2018 12:00 PM</t>
  </si>
  <si>
    <t>Ushqime</t>
  </si>
  <si>
    <t xml:space="preserve"> Oriz, Perime, Mish lope, Mish qengji, Mish i grirë viçi, Vaj gatimi, Qumësht, Djathë i freskët, Miell gruri, Bukë, Sheqer, Makarona të papjekura, Kripë, Pije jo-alkolike</t>
  </si>
  <si>
    <t>Request for Proposals</t>
  </si>
  <si>
    <t>15/02/2018 02:00 PM</t>
  </si>
  <si>
    <t>11/01/2018 11:36 AM</t>
  </si>
  <si>
    <t xml:space="preserve">SEAD-SGS </t>
  </si>
  <si>
    <t>L61725018G</t>
  </si>
  <si>
    <t>Veshëmbathje (tesha për të moshuarit)</t>
  </si>
  <si>
    <t xml:space="preserve"> Funde, Pantallona, Pulovra, triko dhe artikuj të ngjashëm, Mbathje, Çorape, Bluza dhe këmisha, Peshqirë</t>
  </si>
  <si>
    <t>26/04/2018 10:03 AM</t>
  </si>
  <si>
    <t>Shtepia e te Moshuarve Fier</t>
  </si>
  <si>
    <t>Bebelino per te moshuarit</t>
  </si>
  <si>
    <t>27/06/2018 09:30 AM</t>
  </si>
  <si>
    <t xml:space="preserve">Blerina Sadiku </t>
  </si>
  <si>
    <t>K97730102T</t>
  </si>
  <si>
    <t>22/01/2018 01:01 PM</t>
  </si>
  <si>
    <t>Blerje ushqime</t>
  </si>
  <si>
    <t xml:space="preserve"> Produkte ushqimore të ndryshme</t>
  </si>
  <si>
    <t>01/02/2018 08:00 AM</t>
  </si>
  <si>
    <t xml:space="preserve">4 S </t>
  </si>
  <si>
    <t>L64425401K</t>
  </si>
  <si>
    <t>17/01/2018 01:38 PM</t>
  </si>
  <si>
    <t>Detergjent</t>
  </si>
  <si>
    <t xml:space="preserve"> Produkte pastrimi, Detergjentë, Detergjentë për enë</t>
  </si>
  <si>
    <t>07/03/2018 09:00 AM</t>
  </si>
  <si>
    <t xml:space="preserve">DIMEX  </t>
  </si>
  <si>
    <t>J61805519O</t>
  </si>
  <si>
    <t>Dizinfektim institucioni</t>
  </si>
  <si>
    <t>11.06.2018</t>
  </si>
  <si>
    <t xml:space="preserve">GENAP GRUP </t>
  </si>
  <si>
    <t>L24330001E</t>
  </si>
  <si>
    <t>14/06/2018 11:30 AM</t>
  </si>
  <si>
    <t>Ene kuzhine</t>
  </si>
  <si>
    <t xml:space="preserve"> Enë kuzhine gatimi, Lugë, pirunj</t>
  </si>
  <si>
    <t>14.05.2018</t>
  </si>
  <si>
    <t xml:space="preserve">Denis Goga </t>
  </si>
  <si>
    <t>L41722023C</t>
  </si>
  <si>
    <t>17/05/2018 01:23 PM</t>
  </si>
  <si>
    <t>Ilace dhe medikamente mjekesore</t>
  </si>
  <si>
    <t xml:space="preserve"> Pajisje dhe produkte të ndryshme mjekësore </t>
  </si>
  <si>
    <t>20.04.2018</t>
  </si>
  <si>
    <t xml:space="preserve">ALKFARMA  </t>
  </si>
  <si>
    <t>J82916411G</t>
  </si>
  <si>
    <t>28/03/2018 09:35 AM</t>
  </si>
  <si>
    <t xml:space="preserve"> Kartolina, Bllok shënimesh, Bllok me letra shënimesh me ngjitëse, Dosje, Toner per printer lazer /makina fax , Stilolapsa, Lapsa, Korrektues, Kapese letrash, Zarfa, Letër e  vazhdueshme për printera kompjuteri, Kalendarë, Tastierë kompjuteri, Gërshërë, Vizore</t>
  </si>
  <si>
    <t>06.08.2018</t>
  </si>
  <si>
    <t xml:space="preserve">NEXHAT MEHONIQI </t>
  </si>
  <si>
    <t>L03202402E</t>
  </si>
  <si>
    <t>31/08/2018 01:25 PM</t>
  </si>
  <si>
    <t>Karburant (nafte) per kaldajen</t>
  </si>
  <si>
    <t>23/01/2018 09:00 AM</t>
  </si>
  <si>
    <t xml:space="preserve">RESULI - ER </t>
  </si>
  <si>
    <t>L12510413V</t>
  </si>
  <si>
    <t>19/01/2018 03:12 PM</t>
  </si>
  <si>
    <t>Klor dhe materiale pastrimi</t>
  </si>
  <si>
    <t xml:space="preserve"> Klor</t>
  </si>
  <si>
    <t>23.01.2018</t>
  </si>
  <si>
    <t>15/02/2018 11:45 AM</t>
  </si>
  <si>
    <t>Komodina per perfituesit</t>
  </si>
  <si>
    <t xml:space="preserve"> Komodina</t>
  </si>
  <si>
    <t>19/06/2018 09:30 AM</t>
  </si>
  <si>
    <t xml:space="preserve">DISPOSITION </t>
  </si>
  <si>
    <t>L62619402N</t>
  </si>
  <si>
    <t>Materiale te buta</t>
  </si>
  <si>
    <t xml:space="preserve"> Dyshekë, Batanije, Çarçafë, Peshqirë</t>
  </si>
  <si>
    <t>14/05/2018 09:30 AM</t>
  </si>
  <si>
    <t xml:space="preserve">Emiljano Dervishi </t>
  </si>
  <si>
    <t>L81704016C</t>
  </si>
  <si>
    <t>Materiale te imta</t>
  </si>
  <si>
    <t xml:space="preserve"> Porto-llambë, Priza dhe spina, Llamba, Mjete, kyçe, çelësa, mentesha, mbërthyese, zinxhirë dhe susta</t>
  </si>
  <si>
    <t>17/04/2018 09:00 AM</t>
  </si>
  <si>
    <t xml:space="preserve">Ledjan Shabanaj </t>
  </si>
  <si>
    <t>L57509801I</t>
  </si>
  <si>
    <t>Mbajtese rrobash per dhomat e perfituesve</t>
  </si>
  <si>
    <t xml:space="preserve"> Varëse rrobash ose mbajtëse</t>
  </si>
  <si>
    <t>26/07/2018 09:01 AM</t>
  </si>
  <si>
    <t>Mirembajtje dyersh</t>
  </si>
  <si>
    <t xml:space="preserve"> Dyer</t>
  </si>
  <si>
    <t>05/04/2018 09:30 AM</t>
  </si>
  <si>
    <t xml:space="preserve">Artur Goga </t>
  </si>
  <si>
    <t>L61306083A</t>
  </si>
  <si>
    <t>30/03/2018 10:46 AM</t>
  </si>
  <si>
    <t>Mirembajtje korridori hyres</t>
  </si>
  <si>
    <t xml:space="preserve"> Shtrim dyshemeje</t>
  </si>
  <si>
    <t>04.04.2018</t>
  </si>
  <si>
    <t xml:space="preserve">J O G I  </t>
  </si>
  <si>
    <t>J63229478K</t>
  </si>
  <si>
    <t>13/04/2018 01:05 PM</t>
  </si>
  <si>
    <t>Mirembajtje lulishte</t>
  </si>
  <si>
    <t xml:space="preserve"> Rregullime me lule, Stola, Kosha mbeturinash, Vazo lulesh</t>
  </si>
  <si>
    <t>30.05.2018</t>
  </si>
  <si>
    <t xml:space="preserve">Rexhild Gjika </t>
  </si>
  <si>
    <t>L62508413Q</t>
  </si>
  <si>
    <t>06/06/2018 11:06 AM</t>
  </si>
  <si>
    <t>Mirembajtje objekte ndertimore, lyerje dhe suvatime</t>
  </si>
  <si>
    <t xml:space="preserve"> Lyerje</t>
  </si>
  <si>
    <t>07/05/2018 09:30 AM</t>
  </si>
  <si>
    <t xml:space="preserve">ASI-2A CO  </t>
  </si>
  <si>
    <t>K53002402C</t>
  </si>
  <si>
    <t>Mirembajtje paisje zyrash</t>
  </si>
  <si>
    <t xml:space="preserve"> Kompjutera personale, Tavolina, dollapë, tavolina pune dhe rafte librash, Rafte për zyra, Tavolina kompjuteri</t>
  </si>
  <si>
    <t>21.05.2018</t>
  </si>
  <si>
    <t>06/06/2018 11:05 AM</t>
  </si>
  <si>
    <t>Mirembajtje paneli diellor dhe kaldaje</t>
  </si>
  <si>
    <t xml:space="preserve"> Shërbime mirëmbajtje dhe riparimi, Shërbime për riparimin dhe mirëmbajtjen e kaldajave</t>
  </si>
  <si>
    <t>20/03/2018 09:00 AM</t>
  </si>
  <si>
    <t xml:space="preserve">Bujar Bundo </t>
  </si>
  <si>
    <t>K82011002B</t>
  </si>
  <si>
    <t>Mirëmbajtje të rrjetit të ujrave të zeza</t>
  </si>
  <si>
    <t xml:space="preserve"> Shërbime të ujërave të zeza</t>
  </si>
  <si>
    <t xml:space="preserve">BEQIRI </t>
  </si>
  <si>
    <t>J98624801V</t>
  </si>
  <si>
    <t>13/08/2018 11:50 AM</t>
  </si>
  <si>
    <t>Mirëmbajtje tualeti i personelit dhe i zyrave</t>
  </si>
  <si>
    <t xml:space="preserve"> Shërbime të riparimit dhe mirëmbajtjes</t>
  </si>
  <si>
    <t>20/06/2018 09:30 AM</t>
  </si>
  <si>
    <t>06/06/2018 02:39 PM</t>
  </si>
  <si>
    <t>Rrjeta mbrojtëse për dritaret e dhomave</t>
  </si>
  <si>
    <t xml:space="preserve"> Rrjeta teli</t>
  </si>
  <si>
    <t>26.06.2018</t>
  </si>
  <si>
    <t>Erion Shkurti</t>
  </si>
  <si>
    <t>L33429401C</t>
  </si>
  <si>
    <t>04/07/2018 01:50 PM</t>
  </si>
  <si>
    <t>Sherbime funerali</t>
  </si>
  <si>
    <t xml:space="preserve"> Shërbime funerali</t>
  </si>
  <si>
    <t>06/02/2018 09:30 AM</t>
  </si>
  <si>
    <t xml:space="preserve">PAERA </t>
  </si>
  <si>
    <t>L31505034R</t>
  </si>
  <si>
    <t>Shtesë kontrate ushqime</t>
  </si>
  <si>
    <t>Suvatim dhe lyerje e fasades se institucionit</t>
  </si>
  <si>
    <t xml:space="preserve"> Suvatim, Lyerje ndërtesash</t>
  </si>
  <si>
    <t>21/06/2018 10:00 AM</t>
  </si>
  <si>
    <t xml:space="preserve">2Z KONSTRUKSION  </t>
  </si>
  <si>
    <t>J63229466K</t>
  </si>
  <si>
    <t>12/06/2018 04:07 PM</t>
  </si>
  <si>
    <t>Uniforma pune</t>
  </si>
  <si>
    <t xml:space="preserve"> Veshje profesionale</t>
  </si>
  <si>
    <t>04.07.2018</t>
  </si>
  <si>
    <t xml:space="preserve">GENTIAN SADIKU </t>
  </si>
  <si>
    <t>L42314005A</t>
  </si>
  <si>
    <t>26/07/2018 08:58 AM</t>
  </si>
  <si>
    <t>Shtëpia e të Moshurve Shkodër</t>
  </si>
  <si>
    <t>Blerje Detergjente e materiale pastrimi</t>
  </si>
  <si>
    <t>10/05/2018 09:00 AM</t>
  </si>
  <si>
    <t>Blerje Medikamente e ilace</t>
  </si>
  <si>
    <t>29/05/2018 09:00 AM</t>
  </si>
  <si>
    <t xml:space="preserve">CFO PHARMA  </t>
  </si>
  <si>
    <t>K22305002U</t>
  </si>
  <si>
    <t>Sherbim me roje private</t>
  </si>
  <si>
    <t xml:space="preserve"> Shërbime roje/shërbime me roje</t>
  </si>
  <si>
    <t>23/02/2018 12:00 AM</t>
  </si>
  <si>
    <t xml:space="preserve">DANI SECURITY  </t>
  </si>
  <si>
    <t>K46526058R</t>
  </si>
  <si>
    <t>15/02/2018 04:11 PM</t>
  </si>
  <si>
    <t>Blerje Ushqimesh deri ne lidhjen e kontrates se re per vitin 2018</t>
  </si>
  <si>
    <t xml:space="preserve"> Ushqime </t>
  </si>
  <si>
    <t>11/06/2018 11.00 AM</t>
  </si>
  <si>
    <t>NIKA sh.p.k</t>
  </si>
  <si>
    <t>J76705047U</t>
  </si>
  <si>
    <t>13/06/2018</t>
  </si>
  <si>
    <t>Shtëpia e të Moshurve Kavajë</t>
  </si>
  <si>
    <t>Blerje detergjente pastrimi</t>
  </si>
  <si>
    <t>09/02/2018 09:00 AM</t>
  </si>
  <si>
    <t xml:space="preserve">S.L.M.  </t>
  </si>
  <si>
    <t>K71605001B</t>
  </si>
  <si>
    <t>19/01/2018 03:00 PM</t>
  </si>
  <si>
    <t>Blerje kancelarie</t>
  </si>
  <si>
    <t>03/04/2018 10:00 AM</t>
  </si>
  <si>
    <t xml:space="preserve">Project-Line </t>
  </si>
  <si>
    <t>L81406016D</t>
  </si>
  <si>
    <t>20/03/2018 01:33 PM</t>
  </si>
  <si>
    <t>BLERJE MATERILAE TE BUTA</t>
  </si>
  <si>
    <t xml:space="preserve"> Shtretër, shtresa dhe orendi të buta</t>
  </si>
  <si>
    <t>08/05/2018 01:00 PM</t>
  </si>
  <si>
    <t>07/05/2018 01:57 PM</t>
  </si>
  <si>
    <t>Blerje panolinash</t>
  </si>
  <si>
    <t xml:space="preserve"> Veshje</t>
  </si>
  <si>
    <t>08/03/2018 09:00 AM</t>
  </si>
  <si>
    <t>Blerje produktesh farmaceutike</t>
  </si>
  <si>
    <t>12/03/2018 08:00 AM</t>
  </si>
  <si>
    <t>07/03/2018 01:40 PM</t>
  </si>
  <si>
    <t>Furnizime me Ushqime per shtepine e te moshuarve</t>
  </si>
  <si>
    <t>02/02/2018 09:00 AM</t>
  </si>
  <si>
    <t xml:space="preserve">LEL </t>
  </si>
  <si>
    <t>K81917006T</t>
  </si>
  <si>
    <t>19/01/2018 02:07 PM</t>
  </si>
  <si>
    <t>Shepnzime per riparim dhe mirembajtje te sistemit hidraulik</t>
  </si>
  <si>
    <t xml:space="preserve"> Punime hidraulike</t>
  </si>
  <si>
    <t>03/07/2018 10:00 AM</t>
  </si>
  <si>
    <t>28/06/2018 03:16 PM</t>
  </si>
  <si>
    <t>Sherbim berberi</t>
  </si>
  <si>
    <t xml:space="preserve"> Shërbime të ndryshme</t>
  </si>
  <si>
    <t>27/03/2018 09:00 AM</t>
  </si>
  <si>
    <t xml:space="preserve">ERVIN BITURKU  </t>
  </si>
  <si>
    <t>K73021811H</t>
  </si>
  <si>
    <t>Sherbime meremetimi dhe lyerje</t>
  </si>
  <si>
    <t xml:space="preserve"> Lyerje dhe shtresa mbrojtëse për struktura</t>
  </si>
  <si>
    <t>31/05/2018 09:00 AM</t>
  </si>
  <si>
    <t xml:space="preserve">Denis Roboçi </t>
  </si>
  <si>
    <t>L51419031Q</t>
  </si>
  <si>
    <t>29/05/2018 03:25 PM</t>
  </si>
  <si>
    <t>Qendra Polivalente per Sherbime te Perkujdesit Shoqeror Polican</t>
  </si>
  <si>
    <t>Blerje bebelina per te moshuarit</t>
  </si>
  <si>
    <t xml:space="preserve"> I Papërcaktuar</t>
  </si>
  <si>
    <t>ALBERT ZAIMI</t>
  </si>
  <si>
    <t>K38707414K</t>
  </si>
  <si>
    <t>30/04/2018 09:20 AM</t>
  </si>
  <si>
    <t>Blerje bojra printeri per kompjutera</t>
  </si>
  <si>
    <t xml:space="preserve"> Bojë shkrimi</t>
  </si>
  <si>
    <t>13/03/2018 02:18 PM</t>
  </si>
  <si>
    <t>Blerje ene gatimi per guzhine</t>
  </si>
  <si>
    <t xml:space="preserve"> Enë gatimi</t>
  </si>
  <si>
    <t xml:space="preserve">Majlinda Qereshniku </t>
  </si>
  <si>
    <t>L12518001O</t>
  </si>
  <si>
    <t>20/04/2018 02:58 PM</t>
  </si>
  <si>
    <t>Blerje gaz te lengshem per gatim</t>
  </si>
  <si>
    <t xml:space="preserve"> Gaz natyror</t>
  </si>
  <si>
    <t xml:space="preserve">ILIR KALLUÇI </t>
  </si>
  <si>
    <t>K38709471P</t>
  </si>
  <si>
    <t>13/03/2018 02:17 PM</t>
  </si>
  <si>
    <t>Blerje mallra kancelarie</t>
  </si>
  <si>
    <t xml:space="preserve"> Stilolapsa, Letër e  vazhdueshme për printera kompjuteri, Blloqe</t>
  </si>
  <si>
    <t xml:space="preserve">POLIKRON NDONI  </t>
  </si>
  <si>
    <t>K32508059S</t>
  </si>
  <si>
    <t>13/03/2018 02:21 PM</t>
  </si>
  <si>
    <t>Blerje materiale detergjent</t>
  </si>
  <si>
    <t>16/03/2018 12:00 AM</t>
  </si>
  <si>
    <t>16/04/2018 11:28 AM</t>
  </si>
  <si>
    <t>Blerje materiale elektrike</t>
  </si>
  <si>
    <t xml:space="preserve"> Materiale elektrike</t>
  </si>
  <si>
    <t xml:space="preserve">HAREDIN AVDYLAJ  </t>
  </si>
  <si>
    <t>K38708447O</t>
  </si>
  <si>
    <t>13/03/2018 02:24 PM</t>
  </si>
  <si>
    <t>Blerje materiale hidraulike</t>
  </si>
  <si>
    <t xml:space="preserve"> Materiale hidraulike</t>
  </si>
  <si>
    <t xml:space="preserve">KLODIAN MELI  </t>
  </si>
  <si>
    <t>K62804030Q</t>
  </si>
  <si>
    <t>13/03/2018 02:25 PM</t>
  </si>
  <si>
    <t>Blerje materiale sinjale alarmi</t>
  </si>
  <si>
    <t xml:space="preserve"> Alarme anti-vjedhje dhe anti-zjarr</t>
  </si>
  <si>
    <t xml:space="preserve">Marius Hysa </t>
  </si>
  <si>
    <t>L64202407G</t>
  </si>
  <si>
    <t>13/03/2018 02:22 PM</t>
  </si>
  <si>
    <t>Blerje uniforma per punonjesit</t>
  </si>
  <si>
    <t xml:space="preserve"> Veshje profesionale, rroba pune të veçanta dhe aksesorë</t>
  </si>
  <si>
    <t>11/07/2018 01:59 PM</t>
  </si>
  <si>
    <t>Blerje ushqime sipas loteve</t>
  </si>
  <si>
    <t xml:space="preserve"> Ushqime për mëngjes</t>
  </si>
  <si>
    <t>30/01/2018 08:00 AM</t>
  </si>
  <si>
    <t xml:space="preserve">Sinani Trading  </t>
  </si>
  <si>
    <t>J64103483H</t>
  </si>
  <si>
    <t>15/01/2018 01:20 PM</t>
  </si>
  <si>
    <t>Dizefektimi , deratizim i ambjenteve</t>
  </si>
  <si>
    <t xml:space="preserve">Eror Zylyftari </t>
  </si>
  <si>
    <t>L41323501S</t>
  </si>
  <si>
    <t>31/07/2018 02:00 PM</t>
  </si>
  <si>
    <t>Mirembajtje dhe riparim paneli diellor</t>
  </si>
  <si>
    <t>13/03/2018 02:16 PM</t>
  </si>
  <si>
    <t>mirembajtje dhe ripraim tualeti, dyer</t>
  </si>
  <si>
    <t xml:space="preserve">Irfan  Ago  </t>
  </si>
  <si>
    <t>K32507020M</t>
  </si>
  <si>
    <t>25/05/2018 11:27 AM</t>
  </si>
  <si>
    <t>mirembajtje pajisje kompjuterike</t>
  </si>
  <si>
    <t xml:space="preserve">Elvis Hajdëraj </t>
  </si>
  <si>
    <t>L52208070A</t>
  </si>
  <si>
    <t>25/05/2018 11:30 AM</t>
  </si>
  <si>
    <t>Sherbim funeral</t>
  </si>
  <si>
    <t>08/04/2018 12:00 AM</t>
  </si>
  <si>
    <t xml:space="preserve">AB. ZOGA SH.P.K </t>
  </si>
  <si>
    <t>L53405005H</t>
  </si>
  <si>
    <t>17/04/2018 12:29 PM</t>
  </si>
  <si>
    <t>Sherbimi i riparimit te pajisjeve elektrike</t>
  </si>
  <si>
    <t xml:space="preserve"> Riparime dhe mirëmbajtje impiantesh</t>
  </si>
  <si>
    <t xml:space="preserve">ALB-INOKS-MJESHTRI </t>
  </si>
  <si>
    <t>K39003401J</t>
  </si>
  <si>
    <t>23/04/2018 03:47 PM</t>
  </si>
  <si>
    <t>Shpenzime Transporti i te moshurave te Qendres Polivalente Polican</t>
  </si>
  <si>
    <t xml:space="preserve"> Transport i udhëtarëve i paplanifikuar</t>
  </si>
  <si>
    <t xml:space="preserve">POLIÇANI TRANS </t>
  </si>
  <si>
    <t>K99502401C</t>
  </si>
  <si>
    <t>20/06/2018 01:17 PM</t>
  </si>
  <si>
    <t>shtese kontrate 20% (mendament kontare) per per perballimin e nevojave te fillim vitit 2018 për blerje ushqime sipas loteve</t>
  </si>
  <si>
    <t xml:space="preserve"> Produkte bujqësore dhe kopshtarie, Perime, Perime me fruta, Produkte blegtorale, Bukë</t>
  </si>
  <si>
    <t>03/01/2018 12:00 AM</t>
  </si>
  <si>
    <t>13/03/2018 02:31 PM</t>
  </si>
  <si>
    <t>shtese kontrate 20% (mendament kontare) per sherbimin e ruajtjes me roje private</t>
  </si>
  <si>
    <t>Alarme anti - vjedhje dhe anti -zjarr</t>
  </si>
  <si>
    <t>Lybeshari shpk</t>
  </si>
  <si>
    <t>K32507055E</t>
  </si>
  <si>
    <t>Qendra Ditore Polivalente Sarande</t>
  </si>
  <si>
    <t>Blerje Detergjente</t>
  </si>
  <si>
    <t>19/06/2018 01:49 PM</t>
  </si>
  <si>
    <t>Blerje ushqime qe prishen</t>
  </si>
  <si>
    <t xml:space="preserve"> Ushqim për fëmijë</t>
  </si>
  <si>
    <t>14/02/2018 08:25 AM</t>
  </si>
  <si>
    <t>18/01/2018 03:15 PM</t>
  </si>
  <si>
    <t>Deratizim ,dizinfektim dezinsektim</t>
  </si>
  <si>
    <t>07/05/2018 11:44 AM</t>
  </si>
  <si>
    <t>07/05/2018 11:46 AM</t>
  </si>
  <si>
    <t>Sherbime elektrike</t>
  </si>
  <si>
    <t xml:space="preserve"> Shërbime elektrike</t>
  </si>
  <si>
    <t xml:space="preserve">Dhimiter Nasto </t>
  </si>
  <si>
    <t>K83903805Q</t>
  </si>
  <si>
    <t>22/05/2018 11:34 AM</t>
  </si>
  <si>
    <t>Sherbime hidraulike</t>
  </si>
  <si>
    <t xml:space="preserve">"NIKA"  </t>
  </si>
  <si>
    <t>J74818826S</t>
  </si>
  <si>
    <t>20/07/2018 08:48 AM</t>
  </si>
  <si>
    <t>Sherbime per Mirembajtje godine</t>
  </si>
  <si>
    <t>20/07/2018 08:46 AM</t>
  </si>
  <si>
    <t>Ushqime qe nuk prishen</t>
  </si>
  <si>
    <t>06/02/2018 11:05 AM</t>
  </si>
  <si>
    <t>18/01/2018 03:16 PM</t>
  </si>
  <si>
    <t>Qendra Ditore Kamëz</t>
  </si>
  <si>
    <r>
      <rPr>
        <b/>
        <sz val="10"/>
        <color indexed="10"/>
        <rFont val="Arial"/>
        <family val="2"/>
      </rPr>
      <t xml:space="preserve">Data e Publikimit
</t>
    </r>
  </si>
  <si>
    <r>
      <rPr>
        <b/>
        <sz val="10"/>
        <color indexed="10"/>
        <rFont val="Arial"/>
        <family val="2"/>
      </rPr>
      <t xml:space="preserve">Modifikuar
</t>
    </r>
  </si>
  <si>
    <t>Blerje Gaz i lengshem</t>
  </si>
  <si>
    <t xml:space="preserve"> Gaz i lëngshëm butan</t>
  </si>
  <si>
    <t xml:space="preserve">Sanije Tarja </t>
  </si>
  <si>
    <t>L61312008O</t>
  </si>
  <si>
    <t>26/04/2018 12:59 PM</t>
  </si>
  <si>
    <t>Blerje kancelari</t>
  </si>
  <si>
    <t xml:space="preserve"> Furnizime e zyrës</t>
  </si>
  <si>
    <t>13/03/2018 12:00 PM</t>
  </si>
  <si>
    <t>Adenis Kastrati Kastrati</t>
  </si>
  <si>
    <t>L51611004I</t>
  </si>
  <si>
    <t>20/02/2018 03:32 PM</t>
  </si>
  <si>
    <t>Blerje Ushqimesh</t>
  </si>
  <si>
    <t xml:space="preserve"> Ushqim, pije, duhan dhe produkte të përafërta</t>
  </si>
  <si>
    <t>31/05/2018 02:00 PM</t>
  </si>
  <si>
    <t>21/05/2018 12:34 PM</t>
  </si>
  <si>
    <t xml:space="preserve">ERDIS  </t>
  </si>
  <si>
    <t>K71804011J</t>
  </si>
  <si>
    <t>26/04/2018 12:43 PM</t>
  </si>
  <si>
    <t>dezinfektimi deratizimi dezinsektimi</t>
  </si>
  <si>
    <t xml:space="preserve"> Shërbime dezinfektimi dhe asgjesimi në zonat urbane apo rurale</t>
  </si>
  <si>
    <t xml:space="preserve">Pastrime Silvio </t>
  </si>
  <si>
    <t>K91413010N</t>
  </si>
  <si>
    <t>14/05/2018 10:53 AM</t>
  </si>
  <si>
    <t>Fletpalosje informuese</t>
  </si>
  <si>
    <t xml:space="preserve"> Libra të shtypur, broshura dhe fletëpalosje</t>
  </si>
  <si>
    <t xml:space="preserve">Altin Ruço </t>
  </si>
  <si>
    <t>K91615034G</t>
  </si>
  <si>
    <t>14/05/2018 10:52 AM</t>
  </si>
  <si>
    <t>Gjelberim Ambienti</t>
  </si>
  <si>
    <t xml:space="preserve"> Fidane, bulbe, rrënjë dhe prerje</t>
  </si>
  <si>
    <t>19/03/2018 12:30 PM</t>
  </si>
  <si>
    <t xml:space="preserve">MURATI   BA  </t>
  </si>
  <si>
    <t>J71907014E</t>
  </si>
  <si>
    <t>22/02/2018 03:43 PM</t>
  </si>
  <si>
    <t>Hidroizolin tarace</t>
  </si>
  <si>
    <t xml:space="preserve"> Izolime çatish</t>
  </si>
  <si>
    <t>02/05/2018 04:00 PM</t>
  </si>
  <si>
    <t>02/05/2018 02:53 PM</t>
  </si>
  <si>
    <t>Mirembajtje te veprave ujore,sistemim i kanaleve kullues</t>
  </si>
  <si>
    <t xml:space="preserve"> Kanalizime kryesore</t>
  </si>
  <si>
    <t>26/04/2018 01:01 PM</t>
  </si>
  <si>
    <t>Pastrim riparim Depozite</t>
  </si>
  <si>
    <t xml:space="preserve">HYSI-2 F  </t>
  </si>
  <si>
    <t>K72429007E</t>
  </si>
  <si>
    <t>06/09/2018 12:30 PM</t>
  </si>
  <si>
    <t>Riparim oborri</t>
  </si>
  <si>
    <t xml:space="preserve">Galanti Albania </t>
  </si>
  <si>
    <t>L61621027F</t>
  </si>
  <si>
    <t>28/08/2018 12:32 PM</t>
  </si>
  <si>
    <t>Riparim Tabele institucioni</t>
  </si>
  <si>
    <t xml:space="preserve">POLIZOI MIJO  </t>
  </si>
  <si>
    <t>K61422002S</t>
  </si>
  <si>
    <t>22/05/2018 11:33 AM</t>
  </si>
  <si>
    <t>Riparime dhe mirembajtje e tualeteve</t>
  </si>
  <si>
    <t xml:space="preserve"> Shërbime mirëmbajtje dhe riparimi</t>
  </si>
  <si>
    <t>07/03/2018 03:00 PM</t>
  </si>
  <si>
    <t>sherbim interneti</t>
  </si>
  <si>
    <t xml:space="preserve"> Rrjet i komunikimeve</t>
  </si>
  <si>
    <t xml:space="preserve">4 ALB  </t>
  </si>
  <si>
    <t>K31623043Q</t>
  </si>
  <si>
    <t>30/03/2018 10:21 AM</t>
  </si>
  <si>
    <t>Sherbim me sisteme alarmi</t>
  </si>
  <si>
    <t>22/02/2018 09:00 AM</t>
  </si>
  <si>
    <t xml:space="preserve">Conspiration-Metropol </t>
  </si>
  <si>
    <t>L02308019F</t>
  </si>
  <si>
    <t>Shtese kontrate "Blerje ushqimesh "</t>
  </si>
  <si>
    <t>26/04/2018 12:41 PM</t>
  </si>
  <si>
    <t>Suvatim , Lyerje Godine</t>
  </si>
  <si>
    <t>29/05/2018 02:00 PM</t>
  </si>
  <si>
    <t xml:space="preserve">Baftjar Murati </t>
  </si>
  <si>
    <t>L51322024A</t>
  </si>
  <si>
    <t>25/05/2018 01:07 PM</t>
  </si>
  <si>
    <t>Transport per te moshuarit</t>
  </si>
  <si>
    <t>30/01/2018 12:00 PM</t>
  </si>
  <si>
    <t xml:space="preserve">LU - NA  </t>
  </si>
  <si>
    <t>K31412087P</t>
  </si>
  <si>
    <t>29/01/2018 02:49 PM</t>
  </si>
  <si>
    <t>Transport per te moshuaruit</t>
  </si>
  <si>
    <t xml:space="preserve">KEI Sh.p.k  </t>
  </si>
  <si>
    <t>K72406011J</t>
  </si>
  <si>
    <t>17/04/2018 03:18 PM</t>
  </si>
  <si>
    <t>Shtëpia e Foshnjës Tiranë</t>
  </si>
  <si>
    <t>Blerje ene guzhine</t>
  </si>
  <si>
    <t xml:space="preserve"> Enë kuzhine gatimi</t>
  </si>
  <si>
    <t>08/08/2018 08:50 AM</t>
  </si>
  <si>
    <t xml:space="preserve"> Makineri zyre, pajisje dhe furnizime, përveç kompjuterëve, printerëve dhe mobilje</t>
  </si>
  <si>
    <t>28/02/2018 02:00 PM</t>
  </si>
  <si>
    <t xml:space="preserve">NEW OFFICE ALBANIA  </t>
  </si>
  <si>
    <t>K31328043J</t>
  </si>
  <si>
    <t>Blerje pampers</t>
  </si>
  <si>
    <t>26/03/2018 11:00 AM</t>
  </si>
  <si>
    <t>17/01/2018 12:26 PM</t>
  </si>
  <si>
    <t>Blerje pampers per femije</t>
  </si>
  <si>
    <t>27/07/2018 09:00 AM</t>
  </si>
  <si>
    <t xml:space="preserve">SUPPORT - 07 SH.P.K  </t>
  </si>
  <si>
    <t>K72417006F</t>
  </si>
  <si>
    <t>25/07/2018 02:44 PM</t>
  </si>
  <si>
    <t>Blerje ushqi8me per nevoja emergjente</t>
  </si>
  <si>
    <t xml:space="preserve">Altin Manallari </t>
  </si>
  <si>
    <t>L61315007V</t>
  </si>
  <si>
    <t>30/05/2018 04:23 PM</t>
  </si>
  <si>
    <t>30/05/2018 08:30 AM</t>
  </si>
  <si>
    <t>29/05/2018 10:53 AM</t>
  </si>
  <si>
    <t>Desifektim te ambjenteve 3D</t>
  </si>
  <si>
    <t xml:space="preserve"> Shërbime dezinfektimi dhe asgjësimi</t>
  </si>
  <si>
    <t>08/08/2018 08:51 AM</t>
  </si>
  <si>
    <t xml:space="preserve"> Produkte për pastrim dhe lustrim</t>
  </si>
  <si>
    <t>28/02/2018 12:00 PM</t>
  </si>
  <si>
    <t>17/01/2018 12:28 PM</t>
  </si>
  <si>
    <t>Pjese kembimi automjeti dhe servis te tij</t>
  </si>
  <si>
    <t xml:space="preserve">A &amp; B SERVICE </t>
  </si>
  <si>
    <t>L71905020R</t>
  </si>
  <si>
    <t>27/07/2018 09:11 AM</t>
  </si>
  <si>
    <t>Riaprim fotokopje Ricoh</t>
  </si>
  <si>
    <t xml:space="preserve"> Shërbime për riparimin e makinerisë fotokopjuese</t>
  </si>
  <si>
    <t xml:space="preserve">KALLFA  </t>
  </si>
  <si>
    <t>J71406006Q</t>
  </si>
  <si>
    <t>04/09/2018 03:05 PM</t>
  </si>
  <si>
    <t>Siguracion vjetor automjeti</t>
  </si>
  <si>
    <t xml:space="preserve"> Siguracione te lidhurame motin</t>
  </si>
  <si>
    <t xml:space="preserve">SIGAL UNIQA Group AUSTRIA  </t>
  </si>
  <si>
    <t>J91809007H</t>
  </si>
  <si>
    <t>09/05/2018 03:15 PM</t>
  </si>
  <si>
    <t>Blerje ushqime/Amendament per nevojat e fillim vitit</t>
  </si>
  <si>
    <t>ERDIS shpk dhe NELSA shpk</t>
  </si>
  <si>
    <t>K71804011J/J71601012S</t>
  </si>
  <si>
    <t>29/03/2018</t>
  </si>
  <si>
    <t>Shërbim i ruajtjes dhe sigurisë fizike</t>
  </si>
  <si>
    <t>Shërbime ruajtjeje</t>
  </si>
  <si>
    <t>SH.R.S.F "SNAJPER SECURITY" shpk</t>
  </si>
  <si>
    <t>K77217701L</t>
  </si>
  <si>
    <t>31/01/2018</t>
  </si>
  <si>
    <t>Shtëpia e Foshnjës Korçë</t>
  </si>
  <si>
    <t>Blerje ushqimesh</t>
  </si>
  <si>
    <t>26/03/2018 08:00 AM</t>
  </si>
  <si>
    <t xml:space="preserve">ELIPS 94  </t>
  </si>
  <si>
    <t>K33928041P</t>
  </si>
  <si>
    <t>23/03/2018 02:27 PM</t>
  </si>
  <si>
    <t>Shtëpia e Foshnjës Shkodër</t>
  </si>
  <si>
    <t>Blerje Artikuj Ushqimore te Shtepise se Foshnjes Shkoder per vitin 2018</t>
  </si>
  <si>
    <t>19/04/2018 03:50 PM</t>
  </si>
  <si>
    <t xml:space="preserve">"SHKAMBI A"  </t>
  </si>
  <si>
    <t>K46823008W</t>
  </si>
  <si>
    <t>17/04/2018 01:48 PM</t>
  </si>
  <si>
    <t>Gaz  per gatim  e ngrohje</t>
  </si>
  <si>
    <t xml:space="preserve"> Gaz butan</t>
  </si>
  <si>
    <t>16/07/2018 02:30 PM</t>
  </si>
  <si>
    <t>25/01/2018 09:49 AM</t>
  </si>
  <si>
    <t>Lyerje ndertese</t>
  </si>
  <si>
    <t>29/05/2018 01:30 PM</t>
  </si>
  <si>
    <t>Shpenzime per materiale pastrimi  e detergjente</t>
  </si>
  <si>
    <t>17/05/2018 10:00 AM</t>
  </si>
  <si>
    <t>15/05/2018 03:53 PM</t>
  </si>
  <si>
    <t>Shtepia e Foshnjes Durres</t>
  </si>
  <si>
    <t>blerje fikse zjarri sinjalistike</t>
  </si>
  <si>
    <t xml:space="preserve">LA FENICE ZJARRFIKES  </t>
  </si>
  <si>
    <t>K61515510H</t>
  </si>
  <si>
    <t>07/05/2018 10:56 AM</t>
  </si>
  <si>
    <t>blerje karburanti per automjete</t>
  </si>
  <si>
    <t xml:space="preserve"> Karburante</t>
  </si>
  <si>
    <t>26/03/2018 03:30 PM</t>
  </si>
  <si>
    <t xml:space="preserve">A&amp;T </t>
  </si>
  <si>
    <t>L32320008H</t>
  </si>
  <si>
    <t>26/03/2018 02:49 PM</t>
  </si>
  <si>
    <t>BLERJE MEDIKAMENTE</t>
  </si>
  <si>
    <t>19/03/2018 12:00 PM</t>
  </si>
  <si>
    <t xml:space="preserve">LEKLI  </t>
  </si>
  <si>
    <t>J81624501L</t>
  </si>
  <si>
    <t>dizinfektim</t>
  </si>
  <si>
    <t xml:space="preserve">ABDYL SULA  </t>
  </si>
  <si>
    <t>K31603525R</t>
  </si>
  <si>
    <t>27/08/2018 11:34 AM</t>
  </si>
  <si>
    <t xml:space="preserve">SHKËLQIM QENDRO  </t>
  </si>
  <si>
    <t>K41504502F</t>
  </si>
  <si>
    <t>29/08/2018 02:18 PM</t>
  </si>
  <si>
    <t>23/03/2018 11:00 AM</t>
  </si>
  <si>
    <t xml:space="preserve">SOLID GROUP </t>
  </si>
  <si>
    <t>L42206505K</t>
  </si>
  <si>
    <t>16/01/2018 02:33 PM</t>
  </si>
  <si>
    <t>ndricues</t>
  </si>
  <si>
    <t xml:space="preserve">Majlinda Karabeci </t>
  </si>
  <si>
    <t>L61306528F</t>
  </si>
  <si>
    <t>27/08/2018 11:33 AM</t>
  </si>
  <si>
    <t>Pampers</t>
  </si>
  <si>
    <t>23/03/2018 10:00 AM</t>
  </si>
  <si>
    <t>Riparim mirembajtje te pajisjeve informatike</t>
  </si>
  <si>
    <t xml:space="preserve"> Riparim i pajisjeve të teknologjisë së informacionit</t>
  </si>
  <si>
    <t xml:space="preserve">Etleva Qendro </t>
  </si>
  <si>
    <t>L61411511Q</t>
  </si>
  <si>
    <t>07/05/2018 02:53 PM</t>
  </si>
  <si>
    <t>Sherbim ruajtje institucioni</t>
  </si>
  <si>
    <t>13/03/2018 10:00 AM</t>
  </si>
  <si>
    <t xml:space="preserve">GJOKA + A  </t>
  </si>
  <si>
    <t>K31825504T</t>
  </si>
  <si>
    <t>24/01/2018 11:57 AM</t>
  </si>
  <si>
    <t>ushqime</t>
  </si>
  <si>
    <t>12/02/2018 10:00 AM</t>
  </si>
  <si>
    <t>25/01/2018 03:55 PM</t>
  </si>
  <si>
    <t>Shtepia e Foshnjes 0 - 6 vjec Vlore</t>
  </si>
  <si>
    <t>Benzine</t>
  </si>
  <si>
    <t xml:space="preserve"> Benzinë</t>
  </si>
  <si>
    <t>27/02/2018 09:00 AM</t>
  </si>
  <si>
    <t xml:space="preserve">RAIMONDA CENO </t>
  </si>
  <si>
    <t>L07308203S</t>
  </si>
  <si>
    <t>25/01/2018 03:39 PM</t>
  </si>
  <si>
    <t>blerje makine larese ( lavatrice )</t>
  </si>
  <si>
    <t xml:space="preserve"> Lavatriçe dhe tharëse rrobash</t>
  </si>
  <si>
    <t xml:space="preserve">GLOBE SHOPS </t>
  </si>
  <si>
    <t>L51715010G</t>
  </si>
  <si>
    <t>30/04/2018 11:37 AM</t>
  </si>
  <si>
    <t>detergjent</t>
  </si>
  <si>
    <t>06/03/2018 09:00 AM</t>
  </si>
  <si>
    <t xml:space="preserve">ENKLEJ.  </t>
  </si>
  <si>
    <t>K56417201G</t>
  </si>
  <si>
    <t>roje</t>
  </si>
  <si>
    <t>07/02/2018 10:00 AM</t>
  </si>
  <si>
    <t xml:space="preserve">STAR SECURITY  Service </t>
  </si>
  <si>
    <t>L57303211M</t>
  </si>
  <si>
    <t>Ushqim per femijet</t>
  </si>
  <si>
    <t>26/02/2018 10:00 AM</t>
  </si>
  <si>
    <t>Veshje per femije</t>
  </si>
  <si>
    <t xml:space="preserve"> Veshje për fëmijë, Batanije, Mbulesë jorgani, Jorganë me pupla, Jastëkë</t>
  </si>
  <si>
    <t>15/05/2018 01:00 AM</t>
  </si>
  <si>
    <t>Qendra e Zhvillimit Tirane</t>
  </si>
  <si>
    <t>blerje ushqime</t>
  </si>
  <si>
    <t>21/03/2018 01:00 PM</t>
  </si>
  <si>
    <t>19/03/2018 04:16 PM</t>
  </si>
  <si>
    <t>Blerje Ushqimesh me negocim pa Shpallje</t>
  </si>
  <si>
    <t xml:space="preserve"> Ushqime për shkollë</t>
  </si>
  <si>
    <t>31/05/2018 09:40 AM</t>
  </si>
  <si>
    <t>31/05/2018 07:57 AM</t>
  </si>
  <si>
    <t>Detergjente dhe materiale pastrimi</t>
  </si>
  <si>
    <t xml:space="preserve"> Detergjentë, Detergjentë për enë</t>
  </si>
  <si>
    <t>14/05/2018 03:00 PM</t>
  </si>
  <si>
    <t>13/04/2018 02:01 PM</t>
  </si>
  <si>
    <t>Dizinfektim</t>
  </si>
  <si>
    <t>15/02/2018 03:30 PM</t>
  </si>
  <si>
    <t xml:space="preserve">ALEX - 99  </t>
  </si>
  <si>
    <t>K41512023O</t>
  </si>
  <si>
    <t>16/01/2018 03:08 PM</t>
  </si>
  <si>
    <t>11/05/2018 04:00 PM</t>
  </si>
  <si>
    <t>Emergjence per zhbllokim pusetash</t>
  </si>
  <si>
    <t xml:space="preserve"> Elementë pusetash</t>
  </si>
  <si>
    <t>10/05/2018 04:42 PM</t>
  </si>
  <si>
    <t>Ene Guzhine</t>
  </si>
  <si>
    <t>27/06/2018 03:00 PM</t>
  </si>
  <si>
    <t xml:space="preserve">ALI VESELI  </t>
  </si>
  <si>
    <t>K33708276F</t>
  </si>
  <si>
    <t>Gaz per ngrohje dhe gatim</t>
  </si>
  <si>
    <t xml:space="preserve"> Gaz i lëngshëm propan</t>
  </si>
  <si>
    <t>PRONTO GAZ GAZ</t>
  </si>
  <si>
    <t>L41504010N</t>
  </si>
  <si>
    <t>04/04/2018 05:10 PM</t>
  </si>
  <si>
    <t>30/01/2018 03:30 PM</t>
  </si>
  <si>
    <t>Karburant per kaldaje</t>
  </si>
  <si>
    <t xml:space="preserve">O L S I  </t>
  </si>
  <si>
    <t>J63423463I</t>
  </si>
  <si>
    <t>Lyerje Godine</t>
  </si>
  <si>
    <t>16/07/2018 03:00 PM</t>
  </si>
  <si>
    <t xml:space="preserve">Altion Basha </t>
  </si>
  <si>
    <t>L71421503H</t>
  </si>
  <si>
    <t>Materiale speciale per perdorim vetjak.</t>
  </si>
  <si>
    <t xml:space="preserve"> I Papërcaktuar, Materiale mjekësore të konsumueshme</t>
  </si>
  <si>
    <t xml:space="preserve">Ksantjana Agastra </t>
  </si>
  <si>
    <t>L61904024U</t>
  </si>
  <si>
    <t>19/06/2018 02:05 PM</t>
  </si>
  <si>
    <t>26/06/2018 02:00 PM</t>
  </si>
  <si>
    <t xml:space="preserve">Tufik Kurti </t>
  </si>
  <si>
    <t>L42314015H</t>
  </si>
  <si>
    <t xml:space="preserve"> Materiale mjekësore të konsumueshme</t>
  </si>
  <si>
    <t>02/03/2018 03:00 PM</t>
  </si>
  <si>
    <t>Mirembajtje  elektrike hidraulike</t>
  </si>
  <si>
    <t xml:space="preserve"> Shërbime për riparimin dhe mirëmbajtjen e pajisjeve radiotransmetuese</t>
  </si>
  <si>
    <t>05/04/2018 04:00 PM</t>
  </si>
  <si>
    <t>Mjete didaktike</t>
  </si>
  <si>
    <t xml:space="preserve"> Mjete</t>
  </si>
  <si>
    <t>06/04/2018 02:00 PM</t>
  </si>
  <si>
    <t xml:space="preserve">Denisa Beshaj </t>
  </si>
  <si>
    <t>L41904011K</t>
  </si>
  <si>
    <t>04/04/2018 04:23 PM</t>
  </si>
  <si>
    <t>Pelena njeperdorimshe</t>
  </si>
  <si>
    <t>07/02/2018 03:00 PM</t>
  </si>
  <si>
    <t>08/06/2018 03:00 PM</t>
  </si>
  <si>
    <t>Riparim Catie</t>
  </si>
  <si>
    <t>09/07/2018 10:39 AM</t>
  </si>
  <si>
    <t>Riparim dhe Materiale per Pocerine</t>
  </si>
  <si>
    <t xml:space="preserve"> Poçeri</t>
  </si>
  <si>
    <t>20/07/2018 11:37 AM</t>
  </si>
  <si>
    <t>Riparim dhe mirembajtje lulishte</t>
  </si>
  <si>
    <t xml:space="preserve"> Sherbime per arkitekture lulishtesh</t>
  </si>
  <si>
    <t>Riparim i Paneleve Djellore</t>
  </si>
  <si>
    <t xml:space="preserve"> Panele diellore</t>
  </si>
  <si>
    <t>09/07/2018 10:40 AM</t>
  </si>
  <si>
    <t>Riparime  dhe materiale per ngritjen e atelies</t>
  </si>
  <si>
    <t xml:space="preserve">Erlind Asllani </t>
  </si>
  <si>
    <t>L61612033E</t>
  </si>
  <si>
    <t>04/06/2018 04:50 PM</t>
  </si>
  <si>
    <t>Riparime dhe mirembajtje elektronike</t>
  </si>
  <si>
    <t xml:space="preserve"> Shërbime për riparimin dhe mirëmbajtjen e  pajisjeve audio-vizuale dhe optike</t>
  </si>
  <si>
    <t>04/04/2018 05:09 PM</t>
  </si>
  <si>
    <t>Riparime per ambjentin e fizeoterapis</t>
  </si>
  <si>
    <t>04/06/2018 04:49 PM</t>
  </si>
  <si>
    <t>Sherbim Interneti</t>
  </si>
  <si>
    <t>03/04/2018 12:00 AM</t>
  </si>
  <si>
    <t xml:space="preserve">"ABCOM"  </t>
  </si>
  <si>
    <t>K11308001B</t>
  </si>
  <si>
    <t>18/04/2018 04:20 PM</t>
  </si>
  <si>
    <t>sherbime te ndryshme emergjente</t>
  </si>
  <si>
    <t>27/02/2018 12:00 AM</t>
  </si>
  <si>
    <t>18/04/2018 04:12 PM</t>
  </si>
  <si>
    <t>Shpenzime per mirembajtjen  e paisjeve ne ambjentet e institucionit</t>
  </si>
  <si>
    <t>20/07/2018 12:50 PM</t>
  </si>
  <si>
    <t>Veshmbathje</t>
  </si>
  <si>
    <t>07/03/2018 09:30 AM</t>
  </si>
  <si>
    <t>Furnizim me Ushqime 20%</t>
  </si>
  <si>
    <t>Qendra e Zhvillimit  Rezidencial Durres</t>
  </si>
  <si>
    <t>blerje kancelari shtypshkrime, toner</t>
  </si>
  <si>
    <t>28/07/2018 08:00 AM</t>
  </si>
  <si>
    <t xml:space="preserve">EURO OFFICE  </t>
  </si>
  <si>
    <t>K31803032W</t>
  </si>
  <si>
    <t>17/05/2018 03:51 PM</t>
  </si>
  <si>
    <t>25/05/2018 12:00 AM</t>
  </si>
  <si>
    <t>27/07/2018 11:38 AM</t>
  </si>
  <si>
    <t>16/05/2018 08:34 AM</t>
  </si>
  <si>
    <t>detergjente,materiale industriale,ene kuzhine</t>
  </si>
  <si>
    <t xml:space="preserve"> Enë kuzhine gatimi, Fshesa, furça dhe artikuj të tjerë te ndryshëm, Fshesa, furça dhe artikujt të tjerë për pastrimin e shtëpisë, Detergjentë</t>
  </si>
  <si>
    <t>27/03/2018 08:00 AM</t>
  </si>
  <si>
    <t xml:space="preserve">Azbi Lamaj </t>
  </si>
  <si>
    <t>L62203039U</t>
  </si>
  <si>
    <t>09/02/2018 02:09 PM</t>
  </si>
  <si>
    <t>Dezinfektim D3</t>
  </si>
  <si>
    <t xml:space="preserve"> Dizinfektues, Shërbime dezinfektimi nga parazitët, Shërbime dezinfektimi nga minjtë</t>
  </si>
  <si>
    <t>12/06/2018 08:00 AM</t>
  </si>
  <si>
    <t xml:space="preserve">HOREAL Expo Group </t>
  </si>
  <si>
    <t>L52313007M</t>
  </si>
  <si>
    <t>25/04/2018 09:11 AM</t>
  </si>
  <si>
    <t>Gaz per gatim</t>
  </si>
  <si>
    <t>24/04/2018 08:00 AM</t>
  </si>
  <si>
    <t>kancelari shtypshkronje,toner</t>
  </si>
  <si>
    <t xml:space="preserve"> Materiale të stampuara dhe produkte të lidhura me to, Makineri kompjuterike dhe zyrash, pajisje dhe furnizime përjashtuar mobiljet dhe paketat software, Toner per printer lazer /makina fax , Shtypshkronjë</t>
  </si>
  <si>
    <t>11/05/2018 12:00 AM</t>
  </si>
  <si>
    <t>16/05/2018 08:32 AM</t>
  </si>
  <si>
    <t>lyerje dhe meremetim i ambjenteve te brendshme te institucionit</t>
  </si>
  <si>
    <t>13/06/2018 08:00 AM</t>
  </si>
  <si>
    <t>Materiale mirembajtje, elektrike, hidraulike</t>
  </si>
  <si>
    <t xml:space="preserve"> Materiale elektrike, Materiale ndërtimi dhe produkte të ngjashme, Materiale hidraulike</t>
  </si>
  <si>
    <t>31/03/2018 08:00 AM</t>
  </si>
  <si>
    <t xml:space="preserve">Marjeta Koçi </t>
  </si>
  <si>
    <t>L72105047T</t>
  </si>
  <si>
    <t>medikamente</t>
  </si>
  <si>
    <t xml:space="preserve"> Artikuj farmaceutikë</t>
  </si>
  <si>
    <t>21/02/2018 08:00 AM</t>
  </si>
  <si>
    <t>Nafte per kaldajen</t>
  </si>
  <si>
    <t>nafte per makinen</t>
  </si>
  <si>
    <t>24/07/2018 08:00 AM</t>
  </si>
  <si>
    <t>25/04/2018 09:10 AM</t>
  </si>
  <si>
    <t>riparim dhe mirembajtje e paisjeve te institucionit</t>
  </si>
  <si>
    <t xml:space="preserve"> Punime ngrohje, ventilimi dhe kondicioneresh, Shërbime për riparimin dhe mirëmbajtjen e kompjuterëve personal, Shërbime për riparimin dhe mirëmbajtjen e pajisjeve televizive, Shërbime për mirëmbajtjen e ashensorëve</t>
  </si>
  <si>
    <t>30/08/2018 12:00 AM</t>
  </si>
  <si>
    <t>31/08/2018 12:08 PM</t>
  </si>
  <si>
    <t>Riparim dhe mirembajtje makine</t>
  </si>
  <si>
    <t xml:space="preserve"> Shërbime riparimi për automjete</t>
  </si>
  <si>
    <t>Riparim i pergjithshem i portes kryesore</t>
  </si>
  <si>
    <t xml:space="preserve">KLODIAN GJOJDESHI  </t>
  </si>
  <si>
    <t>K31417516N</t>
  </si>
  <si>
    <t>31/08/2018 02:03 PM</t>
  </si>
  <si>
    <t>Sherbim interneti</t>
  </si>
  <si>
    <t>11/05/2018 08:34 AM</t>
  </si>
  <si>
    <t>Suvatim dhe lyerje e murit rrethues te  institucionit</t>
  </si>
  <si>
    <t xml:space="preserve"> Suvatim, Lyerje</t>
  </si>
  <si>
    <t>14/03/2018 08:00 AM</t>
  </si>
  <si>
    <t>06/03/2018 12:48 PM</t>
  </si>
  <si>
    <t>veshmbathje, materiale te buta</t>
  </si>
  <si>
    <t xml:space="preserve"> Veshje, këpucë, artikuj valixhesh dhe aksesorë, Artikuj tekstile, Artikuj tekstile shtëpiake</t>
  </si>
  <si>
    <t xml:space="preserve">Ervin Sadiku </t>
  </si>
  <si>
    <t>L38122101T</t>
  </si>
  <si>
    <t>Ushqime ( Shtese kontrate 20%)</t>
  </si>
  <si>
    <t>kontrate</t>
  </si>
  <si>
    <t>13,02,2018</t>
  </si>
  <si>
    <t>Nelsa shpk dhe erdis shpk</t>
  </si>
  <si>
    <t>J71601012S K71804011J</t>
  </si>
  <si>
    <t>Shertbim I sigurise dhe I ruajtjes(20%</t>
  </si>
  <si>
    <t>Sherbim me roje</t>
  </si>
  <si>
    <t>05,01,2018</t>
  </si>
  <si>
    <t>N.S.S(ndreu security)</t>
  </si>
  <si>
    <t>J68319509H</t>
  </si>
  <si>
    <t>Qendra e Zhvillimit Rezidencial Korce</t>
  </si>
  <si>
    <t>Blerje artikujsh kancelarie</t>
  </si>
  <si>
    <t xml:space="preserve">ILIRJAN POSTOLI  </t>
  </si>
  <si>
    <t>K33915001O</t>
  </si>
  <si>
    <t>Blerje artikujsh ushqimore</t>
  </si>
  <si>
    <t xml:space="preserve">" G E A "  </t>
  </si>
  <si>
    <t>K33931040W</t>
  </si>
  <si>
    <t>Blerje artikujsh ushqimore Loti i dyte “Blerje ushqime kolonjale fruta dhe perime”.</t>
  </si>
  <si>
    <t>Blerje dhuratash</t>
  </si>
  <si>
    <t xml:space="preserve"> Dhurata dhe shpërblime</t>
  </si>
  <si>
    <t xml:space="preserve">KLAUDIO FASHION </t>
  </si>
  <si>
    <t>L04030001Q</t>
  </si>
  <si>
    <t>Blerje materiale pastrimi</t>
  </si>
  <si>
    <t xml:space="preserve"> Fshesa, furça dhe artikujt të tjerë për pastrimin e shtëpisë</t>
  </si>
  <si>
    <t>Blerje materialesh  pastrimi</t>
  </si>
  <si>
    <t xml:space="preserve">BESIM KAMBERI </t>
  </si>
  <si>
    <t>L42103023G</t>
  </si>
  <si>
    <t>Blerje medikamentesh</t>
  </si>
  <si>
    <t>Andreas Kolaj</t>
  </si>
  <si>
    <t>L44724001L</t>
  </si>
  <si>
    <t>Blerje nafte, vaj dhe antifrize</t>
  </si>
  <si>
    <t xml:space="preserve">JOSIF DELIU  </t>
  </si>
  <si>
    <t>K34001001L</t>
  </si>
  <si>
    <t>Blerje uniforme dhe veshmbathje</t>
  </si>
  <si>
    <t xml:space="preserve"> Veshje, këpucë, artikuj valixhe dhe aksesorë</t>
  </si>
  <si>
    <t xml:space="preserve"> Veshje, këpucë, artikuj valixhesh dhe aksesorë</t>
  </si>
  <si>
    <t>Dezinfektim, deratizim bakteriesh, brejtes etj</t>
  </si>
  <si>
    <t>Loti i dyte “Blerje ushqime kolonjale fruta dhe perime”</t>
  </si>
  <si>
    <t>Loti i pare “Blerje buke qumesht nenprodukte te qumeshtit mish dhe neneprodukte te mishit</t>
  </si>
  <si>
    <t>Materiale per funksionimin e pajisjeve speciale (kaldaje)</t>
  </si>
  <si>
    <t xml:space="preserve"> Fllanxhat</t>
  </si>
  <si>
    <t xml:space="preserve">LICO TEK - SHPK  </t>
  </si>
  <si>
    <t>K54603001S</t>
  </si>
  <si>
    <t>Materiale per funksionimin e pajisjeve te zyres</t>
  </si>
  <si>
    <t xml:space="preserve"> Pajisje kompjuterike</t>
  </si>
  <si>
    <t xml:space="preserve">Erion Lipi </t>
  </si>
  <si>
    <t>K94606004P</t>
  </si>
  <si>
    <t>Mirembajtje dhe lyerje godine</t>
  </si>
  <si>
    <t xml:space="preserve">" LEKA "  </t>
  </si>
  <si>
    <t>J64103631O</t>
  </si>
  <si>
    <t>Riparim dhe shpenzime per mirembajtjen e pajisjeve te zyres</t>
  </si>
  <si>
    <t xml:space="preserve"> Shërbime riparimi, mirëmbajtjeje dhe shërbime të tjera të lidhura me anijet dhe pajisje të tjera</t>
  </si>
  <si>
    <t xml:space="preserve">LLAZI TODI RISTO  </t>
  </si>
  <si>
    <t>K33724010G</t>
  </si>
  <si>
    <t>Shtypshkrime</t>
  </si>
  <si>
    <t xml:space="preserve">KOTTI  </t>
  </si>
  <si>
    <t>J64103131H</t>
  </si>
  <si>
    <t>Qendra e Zhvillimit Shkoder</t>
  </si>
  <si>
    <t>Karburant Diesel</t>
  </si>
  <si>
    <t>21/05/2018 02:00 PM</t>
  </si>
  <si>
    <t>Marrje me qera te mjeteve te transportit</t>
  </si>
  <si>
    <t xml:space="preserve"> Marrje me qira e furgonave me shofer</t>
  </si>
  <si>
    <t>10/04/2018 10:30 AM</t>
  </si>
  <si>
    <t xml:space="preserve">Elisa Dyrmishi </t>
  </si>
  <si>
    <t>L61605058A</t>
  </si>
  <si>
    <t>23/04/2018 12:00 PM</t>
  </si>
  <si>
    <t xml:space="preserve">Selvije Abasllari </t>
  </si>
  <si>
    <t>L64704601S</t>
  </si>
  <si>
    <t>Sherbime me Roje</t>
  </si>
  <si>
    <t>09/03/2018 10:00 AM</t>
  </si>
  <si>
    <t xml:space="preserve">MARKU-N  </t>
  </si>
  <si>
    <t>K46818025K</t>
  </si>
  <si>
    <t>05/03/2018 03:24 PM</t>
  </si>
  <si>
    <t>27/03/2018 10:00 AM</t>
  </si>
  <si>
    <t>Qendra e Zhvillimit Berat</t>
  </si>
  <si>
    <t xml:space="preserve"> Dosje, Toner për makinat fotokopjuese, Stilolapsa, Letër fotokopjuese</t>
  </si>
  <si>
    <t xml:space="preserve">Eno Serjanaj </t>
  </si>
  <si>
    <t>L32902003K</t>
  </si>
  <si>
    <t>04/09/2018 03:48 PM</t>
  </si>
  <si>
    <t xml:space="preserve"> Dosje, Toner per printer lazer /makina fax , Stilolapsa me majë të rrumbullakët, Letër fotokopjuese</t>
  </si>
  <si>
    <t xml:space="preserve">Ornela Dauti </t>
  </si>
  <si>
    <t>L12818001A</t>
  </si>
  <si>
    <t>26/04/2018 09:32 AM</t>
  </si>
  <si>
    <t>Karburant per ngrohje</t>
  </si>
  <si>
    <t xml:space="preserve">PAJO -  OIL </t>
  </si>
  <si>
    <t>L43226001E</t>
  </si>
  <si>
    <t>25/04/2018 12:09 PM</t>
  </si>
  <si>
    <t>Materiale elektrike ,idraulike</t>
  </si>
  <si>
    <t xml:space="preserve"> Materiale elektrike, Materiale hidraulike</t>
  </si>
  <si>
    <t xml:space="preserve">ALFRED MUÇOLLI  </t>
  </si>
  <si>
    <t>K72924003I</t>
  </si>
  <si>
    <t>26/04/2018 11:40 AM</t>
  </si>
  <si>
    <t xml:space="preserve">Ylli Koka </t>
  </si>
  <si>
    <t>L52506002M</t>
  </si>
  <si>
    <t>Materiale pastrimi + detergjente</t>
  </si>
  <si>
    <t>19/02/2018 10:50 AM</t>
  </si>
  <si>
    <t xml:space="preserve">Renato Duci </t>
  </si>
  <si>
    <t>L53502001J</t>
  </si>
  <si>
    <t>06/09/2018 09:02 AM</t>
  </si>
  <si>
    <t>26/04/2018 01:56 PM</t>
  </si>
  <si>
    <t>Riparime , mirembajtje ,sherbime institucioni</t>
  </si>
  <si>
    <t>17/04/2018 10:00 AM</t>
  </si>
  <si>
    <t xml:space="preserve">XHEZMI SIQECA </t>
  </si>
  <si>
    <t>L86509203M</t>
  </si>
  <si>
    <t>11/04/2018 02:36 PM</t>
  </si>
  <si>
    <t>Riparime kompjuteri 83333</t>
  </si>
  <si>
    <t xml:space="preserve"> Mirëmbajtje dhe riparim i kompjuterëve mainframe</t>
  </si>
  <si>
    <t xml:space="preserve">COMPUTER RESALE CENTER ( C.R.C ) </t>
  </si>
  <si>
    <t>K82415008M</t>
  </si>
  <si>
    <t>04/09/2018 03:44 PM</t>
  </si>
  <si>
    <t>Riparime mirembajtje . sherbime institucioni</t>
  </si>
  <si>
    <t>21/05/2018 11:45 AM</t>
  </si>
  <si>
    <t xml:space="preserve">Naim Hysi </t>
  </si>
  <si>
    <t>L41726016Q</t>
  </si>
  <si>
    <t>Riparime te inventarit ekonomik</t>
  </si>
  <si>
    <t xml:space="preserve">ESS METAL </t>
  </si>
  <si>
    <t>L13023001D</t>
  </si>
  <si>
    <t>25/04/2018 12:32 PM</t>
  </si>
  <si>
    <t xml:space="preserve">Erjon Xoxi </t>
  </si>
  <si>
    <t>L52312503F</t>
  </si>
  <si>
    <t>Rparime te paisjeve elektronikeLavatrice ,Frigorifer</t>
  </si>
  <si>
    <t xml:space="preserve">Ervis Xhafa </t>
  </si>
  <si>
    <t>L53307803A</t>
  </si>
  <si>
    <t>06/09/2018 09:46 AM</t>
  </si>
  <si>
    <t>veshembathje dhe materiale te buta</t>
  </si>
  <si>
    <t xml:space="preserve"> Veshje, Veshje nate</t>
  </si>
  <si>
    <t xml:space="preserve">Kadri Kola </t>
  </si>
  <si>
    <t>K82808003S</t>
  </si>
  <si>
    <t>04/09/2018 03:46 PM</t>
  </si>
  <si>
    <t>Qendra e Zhvillimit te Personave me Aftesi te Kufizuar Vlore</t>
  </si>
  <si>
    <t>Blerje Dysheke per femije</t>
  </si>
  <si>
    <t xml:space="preserve"> Dyshekë</t>
  </si>
  <si>
    <t>15/05/2018 12:00 PM</t>
  </si>
  <si>
    <t xml:space="preserve">"IL - AD" Company </t>
  </si>
  <si>
    <t>L61321052A</t>
  </si>
  <si>
    <t>06/04/2018 12:25 PM</t>
  </si>
  <si>
    <t>Blerje ushqime per femije</t>
  </si>
  <si>
    <t>21/02/2018 12:00 PM</t>
  </si>
  <si>
    <t>22/01/2018 01:56 PM</t>
  </si>
  <si>
    <t>Detergjente</t>
  </si>
  <si>
    <t>30/03/2018 02:00 PM</t>
  </si>
  <si>
    <t>elektro-encefalogram</t>
  </si>
  <si>
    <t xml:space="preserve"> Elektro-encefalografe</t>
  </si>
  <si>
    <t xml:space="preserve">BAKAJ  </t>
  </si>
  <si>
    <t>K66319203H</t>
  </si>
  <si>
    <t>31/07/2018 01:07 PM</t>
  </si>
  <si>
    <t>Kompjutera desktop</t>
  </si>
  <si>
    <t xml:space="preserve"> Kompjutera desktop</t>
  </si>
  <si>
    <t xml:space="preserve">N E  P T U N  </t>
  </si>
  <si>
    <t>K12222001B</t>
  </si>
  <si>
    <t>30/04/2018 10:28 AM</t>
  </si>
  <si>
    <t>Produkte farmaceutike</t>
  </si>
  <si>
    <t>07/03/2018 12:00 PM</t>
  </si>
  <si>
    <t>13/02/2018 10:31 AM</t>
  </si>
  <si>
    <t>Sherbime te sigurimit dhe ruajtjes se objektit</t>
  </si>
  <si>
    <t xml:space="preserve">F.P.M  </t>
  </si>
  <si>
    <t>K36504231J</t>
  </si>
  <si>
    <t>Shtreter</t>
  </si>
  <si>
    <t xml:space="preserve">Neim Shoraj  </t>
  </si>
  <si>
    <t>K77219201O</t>
  </si>
  <si>
    <t>02/05/2018 09:33 AM</t>
  </si>
  <si>
    <t>Ushqime per femije</t>
  </si>
  <si>
    <t>25/01/2018 03:59 PM</t>
  </si>
  <si>
    <t>veshje per femije</t>
  </si>
  <si>
    <t xml:space="preserve"> Veshje për fëmijë</t>
  </si>
  <si>
    <t xml:space="preserve">KAMBER  BRAHO  </t>
  </si>
  <si>
    <t>K37018201W</t>
  </si>
  <si>
    <t>24/05/2018 11:05 AM</t>
  </si>
  <si>
    <t>Qendra e Zhvillimit Ditor Lezhë</t>
  </si>
  <si>
    <t>Blejre materiale pastrimi dhe higjene</t>
  </si>
  <si>
    <t>Emirian Pacani</t>
  </si>
  <si>
    <t>L27627504M</t>
  </si>
  <si>
    <t>11/04/2018 11:40 AM</t>
  </si>
  <si>
    <t>Blerje Artikuj Ushqimor</t>
  </si>
  <si>
    <t>01/03/2018 01:30 PM</t>
  </si>
  <si>
    <t xml:space="preserve">"LEKA - 2007"  </t>
  </si>
  <si>
    <t>K77929501L</t>
  </si>
  <si>
    <t>23/01/2018 03:32 PM</t>
  </si>
  <si>
    <t>Blerje detergjente</t>
  </si>
  <si>
    <t>13/03/2018 11:38 AM</t>
  </si>
  <si>
    <t>Blerje dru zjarri</t>
  </si>
  <si>
    <t xml:space="preserve"> Dru zjarri</t>
  </si>
  <si>
    <t xml:space="preserve">IMPACT.al </t>
  </si>
  <si>
    <t>L37906503B</t>
  </si>
  <si>
    <t>29/01/2018 01:33 PM</t>
  </si>
  <si>
    <t>Blerje gazi per gatim dhe ngrohje</t>
  </si>
  <si>
    <t xml:space="preserve">"ZIMAJ"  </t>
  </si>
  <si>
    <t>K67720502N</t>
  </si>
  <si>
    <t>13/03/2018 11:34 AM</t>
  </si>
  <si>
    <t>Blerje materiale kancelari</t>
  </si>
  <si>
    <t xml:space="preserve">Edmond Cara </t>
  </si>
  <si>
    <t>L47521501D</t>
  </si>
  <si>
    <t>11/04/2018 11:47 AM</t>
  </si>
  <si>
    <t>Blerje mjete didaktike</t>
  </si>
  <si>
    <t>05/06/2018 11:25 AM</t>
  </si>
  <si>
    <t>Dizinfektim,deratizim dhe dezinfektim ambjenti</t>
  </si>
  <si>
    <t xml:space="preserve">FARMVET-LEZHA  </t>
  </si>
  <si>
    <t>J87603502S</t>
  </si>
  <si>
    <t>13/03/2018 11:36 AM</t>
  </si>
  <si>
    <t>18/07/2018 01:14 PM</t>
  </si>
  <si>
    <t>Fotokopjime dhe plastifikime</t>
  </si>
  <si>
    <t>13/03/2018 11:29 AM</t>
  </si>
  <si>
    <t>Mirembajtje ambientesh, hidroizolim tarace</t>
  </si>
  <si>
    <t>11/04/2018 11:45 AM</t>
  </si>
  <si>
    <t>Mirembajtje dhe riparim te paisjeve</t>
  </si>
  <si>
    <t xml:space="preserve"> Mirëmbajtje dhe riparim i pajisjeve kompjuterike</t>
  </si>
  <si>
    <t xml:space="preserve">Genti Ndreu </t>
  </si>
  <si>
    <t>L67702506C</t>
  </si>
  <si>
    <t>30/04/2018 02:41 PM</t>
  </si>
  <si>
    <t>Ruajtje me sisteme alarmi te godines</t>
  </si>
  <si>
    <t>25/01/2018 01:00 PM</t>
  </si>
  <si>
    <t xml:space="preserve">" 2 L X "  </t>
  </si>
  <si>
    <t>K77523502A</t>
  </si>
  <si>
    <t>Transport per aktivitete jashte Qendres</t>
  </si>
  <si>
    <t xml:space="preserve">" SHËNKOLLI- TRAVEL" </t>
  </si>
  <si>
    <t>L67910502Q</t>
  </si>
  <si>
    <t>13/03/2018 11:31 AM</t>
  </si>
  <si>
    <t>Transport per klientet e Njesise Ad. Balldren</t>
  </si>
  <si>
    <t xml:space="preserve"> I Papërcaktuar, Transport i udhëtarëve i paplanifikuar</t>
  </si>
  <si>
    <t>11/05/2018 02:30 PM</t>
  </si>
  <si>
    <t xml:space="preserve">LEZHA - TRAVEL </t>
  </si>
  <si>
    <t>K88406502H</t>
  </si>
  <si>
    <t>07/05/2018 01:52 PM</t>
  </si>
  <si>
    <t>Transport per klientet e Qendres qe vijne nga Njesise Ad. Balldren</t>
  </si>
  <si>
    <t>Skender Gjini</t>
  </si>
  <si>
    <t>L47603507K</t>
  </si>
  <si>
    <t>25/01/2018 10:54 AM</t>
  </si>
  <si>
    <t>Transport vajtje-ardhje per klientet e Njesise Ad. Balldren</t>
  </si>
  <si>
    <t>13/03/2018 11:37 AM</t>
  </si>
  <si>
    <t>Qendra e Zhvillimit Ditore Korçë</t>
  </si>
  <si>
    <t>Blerje artikuj kancelarie</t>
  </si>
  <si>
    <t>08/05/2018 09:11 AM</t>
  </si>
  <si>
    <t>08/02/2018 10:00 AM</t>
  </si>
  <si>
    <t>17/01/2018 03:07 PM</t>
  </si>
  <si>
    <t xml:space="preserve"> Fshesa, furça dhe artikuj të tjerë te ndryshëm</t>
  </si>
  <si>
    <t>08/05/2018 09:10 AM</t>
  </si>
  <si>
    <t>Blerje nafte per automjet, vaj, antifrize</t>
  </si>
  <si>
    <t>22/05/2018 12:00 PM</t>
  </si>
  <si>
    <t xml:space="preserve">PACILI  </t>
  </si>
  <si>
    <t>J64103089I</t>
  </si>
  <si>
    <t>08/05/2018 09:12 AM</t>
  </si>
  <si>
    <t>Lyerje dhe mirembajtje godine</t>
  </si>
  <si>
    <t>02/08/2018 10:00 AM</t>
  </si>
  <si>
    <t>Riparim dhe mirembajtje automjeti</t>
  </si>
  <si>
    <t xml:space="preserve"> Riparime, mirëmbajtje dhe shërbime të lidhura me automjete dhe pajisje të lidhura</t>
  </si>
  <si>
    <t xml:space="preserve">MEHMET SHEME &amp; NIKOLLA SHEME  </t>
  </si>
  <si>
    <t>K74010001O</t>
  </si>
  <si>
    <t>26/06/2018 11:08 AM</t>
  </si>
  <si>
    <t>Riparim materiale zyre</t>
  </si>
  <si>
    <t xml:space="preserve"> Mirëmbajtje dhe riparim i pajisjeve të teknologjisë së informacionit</t>
  </si>
  <si>
    <t xml:space="preserve">Vangjush Demiri </t>
  </si>
  <si>
    <t>L33818004F</t>
  </si>
  <si>
    <t>27/07/2018 09:29 AM</t>
  </si>
  <si>
    <t>Sherbim i sigurimit dhe ruajtjes se objektit me sistem alarmi</t>
  </si>
  <si>
    <t xml:space="preserve"> Shërbime ruajtjeje</t>
  </si>
  <si>
    <t xml:space="preserve">ALBEN 2 SECURITY  </t>
  </si>
  <si>
    <t>K33921021M</t>
  </si>
  <si>
    <t>Qendra Pritese e Viktimave te Trafikimit Linze</t>
  </si>
  <si>
    <t>Disinfektim DDD`</t>
  </si>
  <si>
    <t>18/06/2018 11:24 AM</t>
  </si>
  <si>
    <t>Karburant per automjete Diesel</t>
  </si>
  <si>
    <t>18/06/2018 11:23 AM</t>
  </si>
  <si>
    <t>Materiale pastrimi detergjente</t>
  </si>
  <si>
    <t>24/07/2018 09:00 AM</t>
  </si>
  <si>
    <t>Ensar Bekteshi Bekteshi</t>
  </si>
  <si>
    <t>K97101002L</t>
  </si>
  <si>
    <t>18/07/2018 04:35 PM</t>
  </si>
  <si>
    <t>Materiale per mirembajtje godine viti 2018</t>
  </si>
  <si>
    <t>30/07/2018 10:13 AM</t>
  </si>
  <si>
    <t>Materiale per riparim te demit elektrik</t>
  </si>
  <si>
    <t>10/07/2018 12:03 PM</t>
  </si>
  <si>
    <t>Mjete per kurse profesionale (Projekt i AAPSK)</t>
  </si>
  <si>
    <t>18/07/2018 11:30 AM</t>
  </si>
  <si>
    <t xml:space="preserve">Dritan Xheka </t>
  </si>
  <si>
    <t>L56503401V</t>
  </si>
  <si>
    <t>16/07/2018 03:26 PM</t>
  </si>
  <si>
    <t>Pajisje kopshtarie</t>
  </si>
  <si>
    <t xml:space="preserve"> Vegla dore</t>
  </si>
  <si>
    <t>29/05/2018 03:23 PM</t>
  </si>
  <si>
    <t>Pajisje palestre</t>
  </si>
  <si>
    <t xml:space="preserve"> Pajisje palestre me shume funksione</t>
  </si>
  <si>
    <t>23/05/2018 09:00 AM</t>
  </si>
  <si>
    <t>16/05/2018 02:37 PM</t>
  </si>
  <si>
    <t>Riparim mirembajtje pajisje informatike</t>
  </si>
  <si>
    <t xml:space="preserve">Bledar Tandili  </t>
  </si>
  <si>
    <t>L01630007H</t>
  </si>
  <si>
    <t>30/07/2018 10:12 AM</t>
  </si>
  <si>
    <t>Servis automjete</t>
  </si>
  <si>
    <t>12/04/2018 08:00 AM</t>
  </si>
  <si>
    <t xml:space="preserve">KOMBINAT - SERVIS  </t>
  </si>
  <si>
    <t>K41628011F</t>
  </si>
  <si>
    <t>11/04/2018 02:37 PM</t>
  </si>
  <si>
    <t>Siguracion,Kolaudim,Taksa Automjete</t>
  </si>
  <si>
    <t xml:space="preserve">ANSIG </t>
  </si>
  <si>
    <t>L21319037M</t>
  </si>
  <si>
    <t>18/07/2018 09:26 AM</t>
  </si>
  <si>
    <t>24/07/2018 09:30 AM</t>
  </si>
  <si>
    <t>18/07/2018 04:34 PM</t>
  </si>
  <si>
    <t>Qendra Kombetare e Trajtimit te viktimave te Dhunes Kamez</t>
  </si>
  <si>
    <t>: Blrerje te Biletave te Transportit Ajror Nderkombetar</t>
  </si>
  <si>
    <t xml:space="preserve"> Bileta transporti</t>
  </si>
  <si>
    <t>Purchase Tickets</t>
  </si>
  <si>
    <t>22/08/2018 12:00 PM</t>
  </si>
  <si>
    <t xml:space="preserve">Vilma Kadesha </t>
  </si>
  <si>
    <t>L81527031Q</t>
  </si>
  <si>
    <t>22/08/2018 11:23 AM</t>
  </si>
  <si>
    <t>Blerje Detergjent dhe materiale Pastrimi</t>
  </si>
  <si>
    <t xml:space="preserve"> Artikuj dhe preparate për higjienën orale apo të dhëmbëve, Detergjentë</t>
  </si>
  <si>
    <t>30/07/2018 12:00 PM</t>
  </si>
  <si>
    <t>30/07/2018 09:40 AM</t>
  </si>
  <si>
    <t>Blerje detergjente dhe materjale pastrimi</t>
  </si>
  <si>
    <t>02/02/2018 10:00 AM</t>
  </si>
  <si>
    <t>23/01/2018 12:09 PM</t>
  </si>
  <si>
    <t>Blerje Gaz per gatim</t>
  </si>
  <si>
    <t xml:space="preserve"> Gaz propan</t>
  </si>
  <si>
    <t>03/05/2018 02:47 PM</t>
  </si>
  <si>
    <t xml:space="preserve"> Letër fotokopjuese</t>
  </si>
  <si>
    <t>03/05/2018 02:59 PM</t>
  </si>
  <si>
    <t>Blerje medikamente</t>
  </si>
  <si>
    <t>01/02/2018 10:30 AM</t>
  </si>
  <si>
    <t xml:space="preserve">Blerim Bitri </t>
  </si>
  <si>
    <t>K91601012V</t>
  </si>
  <si>
    <t>07/06/2018 04:30 PM</t>
  </si>
  <si>
    <t>06/06/2018 12:27 PM</t>
  </si>
  <si>
    <t>Blerje veshje per femije dhe gra</t>
  </si>
  <si>
    <t xml:space="preserve"> Të brendshme, Çorape, Sutjena, korse, llastiqe çorapesh dhe artikuj të ngjashëm, Veshje për fëmijë, Veshje sportive, Tuta</t>
  </si>
  <si>
    <t xml:space="preserve">HIMI  </t>
  </si>
  <si>
    <t>K22306002C</t>
  </si>
  <si>
    <t>13/08/2018 03:53 PM</t>
  </si>
  <si>
    <t>Mirembajtje dhe Kendi i lojrave te femijeve, fusha sportive dhe stolat e parkut</t>
  </si>
  <si>
    <t xml:space="preserve"> Shërbime për riparimin dhe mirëmbajtjen e pajisjeve të lojrave, Shërbime të mirëmbajtjes së fushave sportive</t>
  </si>
  <si>
    <t>16/08/2018 11:00 AM</t>
  </si>
  <si>
    <t>03/07/2018 03:03 PM</t>
  </si>
  <si>
    <t>Riparim makine , pjese kembimi, goma bateri</t>
  </si>
  <si>
    <t xml:space="preserve"> Shërbime riparimi dhe mirëmbajtje makinash</t>
  </si>
  <si>
    <t>21/05/2018 12:00 PM</t>
  </si>
  <si>
    <t>16/05/2018 02:35 PM</t>
  </si>
  <si>
    <t>Sherbim  ruajtje QKTVDHF me polici private</t>
  </si>
  <si>
    <t>19/02/2018 12:00 PM</t>
  </si>
  <si>
    <t xml:space="preserve">N. S.S (Ndreu security services)  </t>
  </si>
  <si>
    <t>16/02/2018 02:23 PM</t>
  </si>
  <si>
    <t xml:space="preserve">ABISSNET  </t>
  </si>
  <si>
    <t>K01417001C</t>
  </si>
  <si>
    <t>07/05/2018 02:30 PM</t>
  </si>
  <si>
    <t>Sherbim sigurie dhe ruajtje</t>
  </si>
  <si>
    <t>07/05/2018 12:00 AM</t>
  </si>
  <si>
    <t>07/05/2018 02:37 PM</t>
  </si>
  <si>
    <t>sherbime 3D (dizinfektim, deratizim,dezinsektim)</t>
  </si>
  <si>
    <t xml:space="preserve"> Shërbime dezinfektimi dhe asgjësimi, Shërbime dezinfektimi nga minjtë</t>
  </si>
  <si>
    <t>04/07/2018 12:00 PM</t>
  </si>
  <si>
    <t xml:space="preserve">ALPEN PULITO  </t>
  </si>
  <si>
    <t>K61516506H</t>
  </si>
  <si>
    <t>03/07/2018 03:02 PM</t>
  </si>
  <si>
    <t>Sherbime per mirembajtjen e objekteve nNertimore</t>
  </si>
  <si>
    <t xml:space="preserve"> Mirëmbajtje çatie, Lyerje ndërtesash</t>
  </si>
  <si>
    <t>10/08/2018 02:30 PM</t>
  </si>
  <si>
    <t xml:space="preserve">RRAPUSH LLUPI  </t>
  </si>
  <si>
    <t>K62520001F</t>
  </si>
  <si>
    <t>12/06/2018 04:05 PM</t>
  </si>
  <si>
    <t>sherbime per mirembajtjen e objekteve specifike (fikse zjarri)</t>
  </si>
  <si>
    <t xml:space="preserve"> Shërbime për riparimin dhe mirëmbajtjen e pajisjeve zjarrfikëse</t>
  </si>
  <si>
    <t xml:space="preserve">MBROJTJA DHE SHPËTIMI NGA ZJARRI </t>
  </si>
  <si>
    <t>L62102007V</t>
  </si>
  <si>
    <t>31/08/2018 01:23 PM</t>
  </si>
  <si>
    <t>Sherbime te tjera Transporti</t>
  </si>
  <si>
    <t xml:space="preserve"> Sherbime per siguracion e detyrueshem per automjetet</t>
  </si>
  <si>
    <t>additional contract</t>
  </si>
  <si>
    <t xml:space="preserve">INSIG SH.A </t>
  </si>
  <si>
    <t>L71325019D</t>
  </si>
  <si>
    <t>13/08/2018 04:00 PM</t>
  </si>
  <si>
    <t>Shtese Kontate per blerje ushqimesh</t>
  </si>
  <si>
    <t>Ushqime, pije duhan dhe produkte te peraferta</t>
  </si>
  <si>
    <t>Nelsa Shpk</t>
  </si>
  <si>
    <t>L71601012S</t>
  </si>
  <si>
    <t>20.02.2018</t>
  </si>
  <si>
    <t>Qendra Kombetare Tranzitore e Emergjencave</t>
  </si>
  <si>
    <t xml:space="preserve">Shtepia e Femijeve 6 - 14 vjec Shkoder </t>
  </si>
  <si>
    <t>Blerje karburant per ngrohje dhe automjete</t>
  </si>
  <si>
    <t xml:space="preserve">KASTRATI  </t>
  </si>
  <si>
    <t>J61813529P</t>
  </si>
  <si>
    <t>22/01/2018 02:09 PM</t>
  </si>
  <si>
    <t>29/05/2018 04:00 PM</t>
  </si>
  <si>
    <t>22/01/2018 01:44 PM</t>
  </si>
  <si>
    <t>Gaz per gatim dhe ngrohje, bombola gazi</t>
  </si>
  <si>
    <t xml:space="preserve"> Bombola gazi</t>
  </si>
  <si>
    <t>07/05/2018 04:00 PM</t>
  </si>
  <si>
    <t xml:space="preserve">"LAND - FJORI GAZ"  </t>
  </si>
  <si>
    <t>K76702001W</t>
  </si>
  <si>
    <t>Lyerje, merimetime te vogla, sherbim izolimi</t>
  </si>
  <si>
    <t xml:space="preserve"> Lyerje dhe lustrim, Lyerje ndërtesash</t>
  </si>
  <si>
    <t>05/07/2018 03:00 PM</t>
  </si>
  <si>
    <t xml:space="preserve">"KONSTRUKSION 04"  </t>
  </si>
  <si>
    <t>K66805002B</t>
  </si>
  <si>
    <t>05/07/2018 11:47 AM</t>
  </si>
  <si>
    <t>Sherbim i ruajtjes fizike me roje</t>
  </si>
  <si>
    <t>13/02/2018 10:00 AM</t>
  </si>
  <si>
    <t>23/01/2018 12:37 PM</t>
  </si>
  <si>
    <t>Siguracion automjeti</t>
  </si>
  <si>
    <t>ALB SIGURACION sh.a</t>
  </si>
  <si>
    <t>Sherbime roje/sherbime me roje</t>
  </si>
  <si>
    <t xml:space="preserve">Sherbime roje/ sherbime me roje </t>
  </si>
  <si>
    <t>Amendament</t>
  </si>
  <si>
    <t>Marku-N</t>
  </si>
  <si>
    <t xml:space="preserve">K46818025K </t>
  </si>
  <si>
    <t>Shtepia e Femijeve 6 - 14 vjec Tirane</t>
  </si>
  <si>
    <t>Blerje dhe instalime të kamerave të sigurisë në institucion</t>
  </si>
  <si>
    <t>Security Solution &amp; Distribution (SSD) (SSD)</t>
  </si>
  <si>
    <t>L42227006B</t>
  </si>
  <si>
    <t>06/09/2018 12:18 PM</t>
  </si>
  <si>
    <t>Blerje gaz për gatim</t>
  </si>
  <si>
    <t>08/08/2018 03:34 PM</t>
  </si>
  <si>
    <t>Blerje kancelari zyre</t>
  </si>
  <si>
    <t>24/04/2018 01:30 PM</t>
  </si>
  <si>
    <t xml:space="preserve">Eldi Qafmolla </t>
  </si>
  <si>
    <t>L02116025O</t>
  </si>
  <si>
    <t>20/04/2018 01:02 PM</t>
  </si>
  <si>
    <t>09/05/2018 01:30 PM</t>
  </si>
  <si>
    <t xml:space="preserve">ANBIM </t>
  </si>
  <si>
    <t>L81618008J</t>
  </si>
  <si>
    <t>20/04/2018 01:01 PM</t>
  </si>
  <si>
    <t>Blerje produkte ushqimore</t>
  </si>
  <si>
    <t>14/06/2018 04:30 PM</t>
  </si>
  <si>
    <t>12/06/2018 03:54 PM</t>
  </si>
  <si>
    <t>Dezinfektimin e ambienteve brenda dhe jashtë institucionit</t>
  </si>
  <si>
    <t>09/07/2018 02:26 PM</t>
  </si>
  <si>
    <t>Mbushje të fikseve të zjarrit</t>
  </si>
  <si>
    <t xml:space="preserve">Vjollca Logu </t>
  </si>
  <si>
    <t>L71406037B</t>
  </si>
  <si>
    <t>09/07/2018 02:25 PM</t>
  </si>
  <si>
    <t>pushime verore në pishina për fëmijë</t>
  </si>
  <si>
    <t xml:space="preserve">TRANS DUNCKA </t>
  </si>
  <si>
    <t>L71318014U</t>
  </si>
  <si>
    <t>08/08/2018 03:35 PM</t>
  </si>
  <si>
    <t>Riparime e mirëmbajtje paisje informatike, paisje elektroshtëpiake</t>
  </si>
  <si>
    <t>kaluar gabim vlera kaluar tek shtesa</t>
  </si>
  <si>
    <t>15/03/2018 11:37 AM</t>
  </si>
  <si>
    <t>Shërbime mirëmbajtje tarace</t>
  </si>
  <si>
    <t>NDREGJONI</t>
  </si>
  <si>
    <t>K31329048I</t>
  </si>
  <si>
    <t>09/07/2018 02:27 PM</t>
  </si>
  <si>
    <t>20% ushqime</t>
  </si>
  <si>
    <t>Ushqime emergjenca</t>
  </si>
  <si>
    <t>20% roje</t>
  </si>
  <si>
    <t>SSX</t>
  </si>
  <si>
    <t>J61817070Q</t>
  </si>
  <si>
    <t>VO:</t>
  </si>
  <si>
    <t xml:space="preserve">1 -Në regjistrin e realizimit në sistem pa dashur ka kaluar si e realizuar riparim e mirëmbajtje pajisje, për këtë arsye kemi njoftuar pranë APP për këtë kalim të gabuar, por ka qënë e pamundur rikthimi tek të parealizuarat.  </t>
  </si>
  <si>
    <t>Shtepia e Femijeve Sarande</t>
  </si>
  <si>
    <t>Detergjentë</t>
  </si>
  <si>
    <t>14/02/2018 05:00 PM</t>
  </si>
  <si>
    <t>16/01/2018 01:00 PM</t>
  </si>
  <si>
    <t>14/06/2018 01:00 PM</t>
  </si>
  <si>
    <t>Dizifektim,derratizim</t>
  </si>
  <si>
    <t>14/05/2018 11:33 AM</t>
  </si>
  <si>
    <t>Kanceleri zyre e shkolle</t>
  </si>
  <si>
    <t>20/04/2018 12:00 AM</t>
  </si>
  <si>
    <t xml:space="preserve">ARGJIRO GROUP  </t>
  </si>
  <si>
    <t>K72806612T</t>
  </si>
  <si>
    <t>22/01/2018 01:03 PM</t>
  </si>
  <si>
    <t>Kanceleri zyre e shkolle.</t>
  </si>
  <si>
    <t>30/04/2018 11:01 AM</t>
  </si>
  <si>
    <t>Materiale  elekrike .</t>
  </si>
  <si>
    <t xml:space="preserve">Luiza Gjoni </t>
  </si>
  <si>
    <t>L23716804Q</t>
  </si>
  <si>
    <t>26/05/2018 11:44 AM</t>
  </si>
  <si>
    <t xml:space="preserve">MEDICAL-PRODUCT  </t>
  </si>
  <si>
    <t>K04814847O</t>
  </si>
  <si>
    <t>19/04/2018 05:15 PM</t>
  </si>
  <si>
    <t>Sherbim mirmb paisje kompjuterike</t>
  </si>
  <si>
    <t xml:space="preserve">Ledian Mitro </t>
  </si>
  <si>
    <t>K84023804P</t>
  </si>
  <si>
    <t>24/04/2018 03:33 PM</t>
  </si>
  <si>
    <t>Shërbim roje/shërbime me roje</t>
  </si>
  <si>
    <t>08/02/2018 12:00 AM</t>
  </si>
  <si>
    <t xml:space="preserve">"SB-SECURITI"  </t>
  </si>
  <si>
    <t>K64105813Q</t>
  </si>
  <si>
    <t>16/01/2018 03:29 PM</t>
  </si>
  <si>
    <t>Sherbimi rojes private civile</t>
  </si>
  <si>
    <t>19/02/2018 12:00 AM</t>
  </si>
  <si>
    <t>30/04/2018 10:47 AM</t>
  </si>
  <si>
    <t>Sherbimit te sigurise me roje private</t>
  </si>
  <si>
    <t>01/01/2018 12:00 AM</t>
  </si>
  <si>
    <t xml:space="preserve">BALILI-KO  </t>
  </si>
  <si>
    <t>K36603503U</t>
  </si>
  <si>
    <t>20/04/2018 10:06 AM</t>
  </si>
  <si>
    <t>ushqime për fëmijë</t>
  </si>
  <si>
    <t>10/02/2018 12:00 AM</t>
  </si>
  <si>
    <t xml:space="preserve">HYSI  </t>
  </si>
  <si>
    <t>J73706808B</t>
  </si>
  <si>
    <t>16/01/2018 04:03 PM</t>
  </si>
  <si>
    <t>24/04/2018 12:38 PM</t>
  </si>
  <si>
    <t>27/04/2018 01:53 PM</t>
  </si>
  <si>
    <t>Vesje për fëmijë.</t>
  </si>
  <si>
    <t>21/06/2018 12:28 PM</t>
  </si>
  <si>
    <t>Azhornim i sistemit financial Alpha Web Buxhetor</t>
  </si>
  <si>
    <t xml:space="preserve"> Mirëmbajtja e softwareve të teknologjisë së informacionit</t>
  </si>
  <si>
    <t>31/05/2018 12:00 AM</t>
  </si>
  <si>
    <t xml:space="preserve">Instituti i Modelimeve ne Biznes  </t>
  </si>
  <si>
    <t>K01410001N</t>
  </si>
  <si>
    <t>31/05/2018 12:05 PM</t>
  </si>
  <si>
    <t>Blerje filtra, vaj dhe riparime per automjetin tip Nissan</t>
  </si>
  <si>
    <t xml:space="preserve">Besnik Meçi </t>
  </si>
  <si>
    <t>L12407012R</t>
  </si>
  <si>
    <t>04/09/2018 08:42 AM</t>
  </si>
  <si>
    <t>Blerje kancelari dhe leter</t>
  </si>
  <si>
    <t>06/02/2018 01:30 PM</t>
  </si>
  <si>
    <t xml:space="preserve">InfoSoft Office  </t>
  </si>
  <si>
    <t>J62426002Q</t>
  </si>
  <si>
    <t>16/01/2018 01:11 PM</t>
  </si>
  <si>
    <t>Blerje libreza verberie, para/tetraplegjike dhe rregjistra KMCAP</t>
  </si>
  <si>
    <t xml:space="preserve"> Librezë</t>
  </si>
  <si>
    <t>08/05/2018 03:00 PM</t>
  </si>
  <si>
    <t xml:space="preserve">DHIMITRAQ KOSTA  </t>
  </si>
  <si>
    <t>K31802096W</t>
  </si>
  <si>
    <t>Blerje materiale pastrimi dhe detergjente</t>
  </si>
  <si>
    <t>05/04/2018 12:00 PM</t>
  </si>
  <si>
    <t xml:space="preserve">NIRUPA </t>
  </si>
  <si>
    <t>L51514004U</t>
  </si>
  <si>
    <t>Blerje pjese kembimi dhe riparime automjetesh</t>
  </si>
  <si>
    <t>19/03/2018 03:00 PM</t>
  </si>
  <si>
    <t xml:space="preserve">Agjencia Shqiptare e Punësimit - Albanian Employme </t>
  </si>
  <si>
    <t>L21410066G</t>
  </si>
  <si>
    <t>16/01/2018 01:12 PM</t>
  </si>
  <si>
    <t>Blerje ushqime per 9 institucionet e varesise se Sherbimit Social Shteteror-Marrëveshje kuadër - me një operator ekonomik ku të gjitha kushtet janë të përcaktuara -  me afat 10 muaj</t>
  </si>
  <si>
    <t>Open Local</t>
  </si>
  <si>
    <t>14/03/2018 11:00 AM</t>
  </si>
  <si>
    <t>22/02/2018 02:32 PM</t>
  </si>
  <si>
    <t>Larje automjetesh</t>
  </si>
  <si>
    <t>Tereze Gjeçi</t>
  </si>
  <si>
    <t>K81706002S</t>
  </si>
  <si>
    <t>18/04/2018 02:48 PM</t>
  </si>
  <si>
    <t>Lidhje kontrate me ujesjelles-kanalizime</t>
  </si>
  <si>
    <t>Gentjan Kadriu Kadriu</t>
  </si>
  <si>
    <t>K81630012E</t>
  </si>
  <si>
    <t>05/03/2018 10:50 AM</t>
  </si>
  <si>
    <t>Riparim i skedes elektrike te portes hyrese</t>
  </si>
  <si>
    <t xml:space="preserve">PORTEL  </t>
  </si>
  <si>
    <t>K81414033J</t>
  </si>
  <si>
    <t>29/05/2018 04:09 PM</t>
  </si>
  <si>
    <t>Riparim i tabelave dhe logove hyrese te institucionit</t>
  </si>
  <si>
    <t xml:space="preserve">ISMAIL ALUSHANI  </t>
  </si>
  <si>
    <t>K31610032F</t>
  </si>
  <si>
    <t>20/02/2018 09:00 AM</t>
  </si>
  <si>
    <t>Sherbim me roje civile per DR per SHSSH</t>
  </si>
  <si>
    <t>02/03/2018 02:00 PM</t>
  </si>
  <si>
    <t xml:space="preserve">RES-03  </t>
  </si>
  <si>
    <t>K26513468E</t>
  </si>
  <si>
    <t>22/02/2018 04:41 PM</t>
  </si>
  <si>
    <t>Shërbim me roje civile për Drejtorinë e Përgjithshme të Shërbimit Social Shtetëror dhe Institucionet e Varësisë- Marrëveshje kuadër - me një operator ekonomik ku të gjitha kushtet janë të përcaktuara -  me afat 11 muaj</t>
  </si>
  <si>
    <t>01/02/2018 11:00 AM</t>
  </si>
  <si>
    <t>31/01/2018 01:54 PM</t>
  </si>
  <si>
    <t>Sherbim telefonie dhe mirembajtje rrjeti</t>
  </si>
  <si>
    <t>27/03/2018 01:41 PM</t>
  </si>
  <si>
    <t>Sherbime printimi dhe fotokopjimi</t>
  </si>
  <si>
    <t xml:space="preserve"> Printime dhe shërbime të lidhura</t>
  </si>
  <si>
    <t>09/03/2018 12:30 PM</t>
  </si>
  <si>
    <t xml:space="preserve">SINTEZA  CO  </t>
  </si>
  <si>
    <t>K11324003F</t>
  </si>
  <si>
    <t>Siguracion automjeti per Subaru dhe Nissan</t>
  </si>
  <si>
    <t>04/09/2018 08:39 AM</t>
  </si>
  <si>
    <t>Volant dhe sherbim per automjetin NISSAN me nr shasie VSKJVWRSIU0203133</t>
  </si>
  <si>
    <t>28/03/2018 12:00 PM</t>
  </si>
  <si>
    <t>Volant dhe sherbim per automjetin SUBARU me nr shasie TSMNHY51S00295601</t>
  </si>
  <si>
    <t xml:space="preserve">SKENDER OSMA </t>
  </si>
  <si>
    <t>K81503018G</t>
  </si>
  <si>
    <t>28/06/2018 11:40 AM</t>
  </si>
  <si>
    <t xml:space="preserve">Zyra Rajonale e Sherbimi Social Shteteror Berat </t>
  </si>
  <si>
    <t>Zyra Rajonale e Sherbimi Social Shteteror Dibër</t>
  </si>
  <si>
    <t xml:space="preserve">KASTRIOT VORFI </t>
  </si>
  <si>
    <t>K36306710v</t>
  </si>
  <si>
    <t>24/04/2018 09:06 AM</t>
  </si>
  <si>
    <t>Lyerje ambjente zyrash</t>
  </si>
  <si>
    <t>10/04/2018 12:00 AM</t>
  </si>
  <si>
    <t xml:space="preserve">Urim Ternaku </t>
  </si>
  <si>
    <t>L37319701V</t>
  </si>
  <si>
    <t>24/04/2018 09:08 AM</t>
  </si>
  <si>
    <t>Zyra Rajonale e Sherbimi Social Shteteror Durrës</t>
  </si>
  <si>
    <t>BLERJE KANCELARIE</t>
  </si>
  <si>
    <t xml:space="preserve"> Furnizime dhe pajisje të ndryshme zyre</t>
  </si>
  <si>
    <t>23/01/2018 03:30 AM</t>
  </si>
  <si>
    <t xml:space="preserve">Magrip Bana </t>
  </si>
  <si>
    <t>L41702004L</t>
  </si>
  <si>
    <t>22/01/2018 01:48 PM</t>
  </si>
  <si>
    <t>LYERJE E AMBJENTEVE TE DREJTORISE SE SHERBIMIT SOCIAL SHTETROR DURRES</t>
  </si>
  <si>
    <t xml:space="preserve">Flor Ahmetaj </t>
  </si>
  <si>
    <t>L52207504I</t>
  </si>
  <si>
    <t>31/07/2018 03:50 PM</t>
  </si>
  <si>
    <t>SHERBIME TE PASTRIMIT</t>
  </si>
  <si>
    <t xml:space="preserve"> Sherbime të pastrimit</t>
  </si>
  <si>
    <t>25/01/2018 10:00 AM</t>
  </si>
  <si>
    <t xml:space="preserve">''FJONA-2006''  </t>
  </si>
  <si>
    <t>K31321510F</t>
  </si>
  <si>
    <t>SHERBIMI I SIGURISE DHE RUAJTJES</t>
  </si>
  <si>
    <t>23/01/2018 04:00 AM</t>
  </si>
  <si>
    <t xml:space="preserve">EUROGJICI-SECURITY  </t>
  </si>
  <si>
    <t>K31929010K</t>
  </si>
  <si>
    <t>RIPARIMI I TABELAVE HYRESE TE INSTITUCIONI</t>
  </si>
  <si>
    <t>IDEAL DESIGN</t>
  </si>
  <si>
    <t>L42102501B</t>
  </si>
  <si>
    <t>04/05/2018 11:00 AM</t>
  </si>
  <si>
    <t>MATRIALE TE NDERYSHME TE SHTYPURA</t>
  </si>
  <si>
    <t>11/05/2018 11:00 AM</t>
  </si>
  <si>
    <t>RIPARIMI I GRILAVE TE BRENDESHME TE INSTITUCIONIT</t>
  </si>
  <si>
    <t>Mosketier Moket Tirana</t>
  </si>
  <si>
    <t>J91516009D</t>
  </si>
  <si>
    <t>09/07/2018 11:00 AM</t>
  </si>
  <si>
    <t xml:space="preserve">Zyra Rajonale e Sherbimi Social Shteteror Elbasan </t>
  </si>
  <si>
    <t xml:space="preserve">Ryzhdije Çota </t>
  </si>
  <si>
    <t>L47621601M</t>
  </si>
  <si>
    <t>24/07/2018 01:48 PM</t>
  </si>
  <si>
    <t xml:space="preserve"> Shërbime printimi</t>
  </si>
  <si>
    <t xml:space="preserve">MERITAN HYSA  </t>
  </si>
  <si>
    <t>K72925208T</t>
  </si>
  <si>
    <t>07/09/2018 11:04 AM</t>
  </si>
  <si>
    <t>Zyra Rajonale e Sherbimit Social Shteteror Fier</t>
  </si>
  <si>
    <t>Blerje Kancelarie</t>
  </si>
  <si>
    <t xml:space="preserve"> Toner per printer lazer /makina fax , Stilolapsa, Lapsa, Letër fotokopjuese, Zarfa, Lapsa me ngjyra</t>
  </si>
  <si>
    <t>20/02/2018 03:30 AM</t>
  </si>
  <si>
    <t xml:space="preserve">JUPITER GROUP </t>
  </si>
  <si>
    <t>K91306035G</t>
  </si>
  <si>
    <t>23/01/2018 11:54 AM</t>
  </si>
  <si>
    <t>Furnizime me materiale zyre dhe të pergjithshme</t>
  </si>
  <si>
    <t xml:space="preserve"> Varëse rrobash ose mbajtëse, Memorje flash, Cd rom, Priza dhe spina, Poç elektrik, Mbajtëse librash, Ngrohësa ajri, Mbajtës për mjete pune, Priza urë</t>
  </si>
  <si>
    <t>29/05/2018 10:00 AM</t>
  </si>
  <si>
    <t>Mirëmbajtje e kompjuterave</t>
  </si>
  <si>
    <t xml:space="preserve"> Shërbime për mirëmbajtjen e kompjuterëve personal</t>
  </si>
  <si>
    <t xml:space="preserve">IT Gjergji Kompjuter </t>
  </si>
  <si>
    <t>K81503063B</t>
  </si>
  <si>
    <t>Printime dhe shërbime të lidhura me to</t>
  </si>
  <si>
    <t>29/03/2018 09:00 AM</t>
  </si>
  <si>
    <t xml:space="preserve">TE  ELECTRONICS </t>
  </si>
  <si>
    <t>L41307020G</t>
  </si>
  <si>
    <t>Sherbim per pastrim zyre</t>
  </si>
  <si>
    <t xml:space="preserve"> Shërbime pastrimi zyre</t>
  </si>
  <si>
    <t>17/02/2018 10:30 AM</t>
  </si>
  <si>
    <t xml:space="preserve">ESO NDËRTIM </t>
  </si>
  <si>
    <t>L58502802G</t>
  </si>
  <si>
    <t>19/01/2018 02:55 PM</t>
  </si>
  <si>
    <t>Zyra Rajonale e Sherbimi Social Shteteror Gjirokastër</t>
  </si>
  <si>
    <t>Blerje materiale kancelarie</t>
  </si>
  <si>
    <t xml:space="preserve"> Bllok shënimesh, Toner per printer lazer /makina fax , Makina llogaritëse, Stilolapsa, Shënues, Lapsa, Lidhëse me unaza dhe kapëse letrash, Kapese letrash, Mbajtës për kapese letrash, Hapese letrash, Letër printimi, Zarfa</t>
  </si>
  <si>
    <t>20/07/2018 09:46 AM</t>
  </si>
  <si>
    <t>Blerje materiale pastrimi per nevojat e Institucionit</t>
  </si>
  <si>
    <t xml:space="preserve"> Klor, Pastrues duarsh, Letër higjienike</t>
  </si>
  <si>
    <t xml:space="preserve">BORALBA </t>
  </si>
  <si>
    <t>L52028121E</t>
  </si>
  <si>
    <t>30/05/2018 02:29 PM</t>
  </si>
  <si>
    <t>Zyra Rajonale e Sherbimi Social Shteteror Korçë</t>
  </si>
  <si>
    <t>Blerje tonera</t>
  </si>
  <si>
    <t xml:space="preserve"> Toner për makinat fotokopjuese</t>
  </si>
  <si>
    <t xml:space="preserve">Çezarina Osmani </t>
  </si>
  <si>
    <t>L83725007U</t>
  </si>
  <si>
    <t>28/05/2018 12:41 PM</t>
  </si>
  <si>
    <t>Dru Zjari</t>
  </si>
  <si>
    <t xml:space="preserve">Kostika Sotiri </t>
  </si>
  <si>
    <t>L84110004U</t>
  </si>
  <si>
    <t>16/08/2018 03:04 PM</t>
  </si>
  <si>
    <t>Shpenzime për mirëmbatjen e paisjeve të zyrës</t>
  </si>
  <si>
    <t xml:space="preserve"> Mirëmbajtj e kompjuterëve mainframe</t>
  </si>
  <si>
    <t>28/05/2018 12:43 PM</t>
  </si>
  <si>
    <t>Zyra Rajonale e Sherbimi Social Shteteror Kukës</t>
  </si>
  <si>
    <t>Kancelari dhe sherbime printimi e fotokopjimi</t>
  </si>
  <si>
    <t xml:space="preserve"> Letër fotokopjuese, Printime dhe shërbime të lidhura</t>
  </si>
  <si>
    <t xml:space="preserve">Bekim Halilaj </t>
  </si>
  <si>
    <t>L58231208Q</t>
  </si>
  <si>
    <t>04/09/2018 03:13 PM</t>
  </si>
  <si>
    <t>Sherbime pastrim zyrash</t>
  </si>
  <si>
    <t xml:space="preserve"> Shërbime administrative sociale</t>
  </si>
  <si>
    <t xml:space="preserve">MARSI  </t>
  </si>
  <si>
    <t>J68028214P</t>
  </si>
  <si>
    <t>07/05/2018 03:28 PM</t>
  </si>
  <si>
    <t>Zyra Rajonale e Sherbimi Social Shteteror Lezhë</t>
  </si>
  <si>
    <t>Zyra Rajonale e Sherbimi Social Shteteror Shkodër</t>
  </si>
  <si>
    <t>Blerje koncelari</t>
  </si>
  <si>
    <t>26/06/2018 09:00 AM</t>
  </si>
  <si>
    <t xml:space="preserve">Endrit Uligaj </t>
  </si>
  <si>
    <t>L26521001P</t>
  </si>
  <si>
    <t>07/05/2018 01:58 PM</t>
  </si>
  <si>
    <t>Blerje materjale kancelarie Viti</t>
  </si>
  <si>
    <t>10/09/2018 09:15 AM</t>
  </si>
  <si>
    <t>Mirembajtje dhe riparim pajisje elektronike</t>
  </si>
  <si>
    <t xml:space="preserve">COPIER COMPUTER CENTER </t>
  </si>
  <si>
    <t>L12120015F</t>
  </si>
  <si>
    <t>10/09/2018 09:09 AM</t>
  </si>
  <si>
    <t>Zyra Rajonale e Sherbimi Social Shteteror Vlorë</t>
  </si>
  <si>
    <t>Blerje Materiale Zyre të Përgjithshme</t>
  </si>
  <si>
    <t xml:space="preserve"> Priza dhe spina, Bateri, Kabllo fibër-optike, Switch blades, Pjesë dhe makineri letre, printimi dhe lidhëse librash</t>
  </si>
  <si>
    <t>06/07/2018 11:05 AM</t>
  </si>
  <si>
    <t>Blerje mates uji</t>
  </si>
  <si>
    <t xml:space="preserve"> Matës të ujit</t>
  </si>
  <si>
    <t xml:space="preserve">ZIHNI MUÇAJ  </t>
  </si>
  <si>
    <t>K36526262K</t>
  </si>
  <si>
    <t>25/04/2018 11:14 AM</t>
  </si>
  <si>
    <t>Blerje Pjesë Këmbimi Automjeti</t>
  </si>
  <si>
    <t xml:space="preserve"> Bateri, Kandela elektrike, Fishekë, Filtra ajri, Filtra vaji, Filtra, Shërbime për riparimin dhe mirëmbajtjen e amortizatorëve</t>
  </si>
  <si>
    <t xml:space="preserve">SALATI  </t>
  </si>
  <si>
    <t>J97426229T</t>
  </si>
  <si>
    <t>06/07/2018 11:02 AM</t>
  </si>
  <si>
    <t>Blerje Siguracion Mjeti</t>
  </si>
  <si>
    <t xml:space="preserve"> Sherbime per siguracion e detyrueshem per mjetet detare</t>
  </si>
  <si>
    <t xml:space="preserve">Albsig  </t>
  </si>
  <si>
    <t>K42108801C</t>
  </si>
  <si>
    <t>06/07/2018 11:03 AM</t>
  </si>
  <si>
    <t>Lyerje godine</t>
  </si>
  <si>
    <t xml:space="preserve">KEM COLOR  </t>
  </si>
  <si>
    <t>K86322201I</t>
  </si>
  <si>
    <t>25/04/2018 11:15 AM</t>
  </si>
  <si>
    <t>Zyra Rajonale e Sherbimi Social Shteteror Tiranë</t>
  </si>
  <si>
    <t>kancelari</t>
  </si>
  <si>
    <t>04/07/2018 10:30 AM</t>
  </si>
  <si>
    <t xml:space="preserve">4 K TRADING Albania </t>
  </si>
  <si>
    <t>L52310028T</t>
  </si>
  <si>
    <t>03/07/2018 03:10 PM</t>
  </si>
  <si>
    <t xml:space="preserve">Printime dhe shërbime të lidhura </t>
  </si>
  <si>
    <t>16/02/2018 10:00 AM</t>
  </si>
  <si>
    <t xml:space="preserve">EL.ED.ER </t>
  </si>
  <si>
    <t>L71325003R</t>
  </si>
  <si>
    <t>19/01/2018 03:04 PM</t>
  </si>
  <si>
    <t xml:space="preserve">MINISTRIA E SHËNDETËSISË DHE MBROJTJES SOCIALE </t>
  </si>
  <si>
    <t>Shërbimi Social Shtetëror</t>
  </si>
  <si>
    <t xml:space="preserve"> Detajimi Vjetor i Planit te Buxhetit sipas Institucioneve te varesise per vitin 2019</t>
  </si>
  <si>
    <t>Enti Qeverises</t>
  </si>
  <si>
    <t xml:space="preserve"> Gr 13</t>
  </si>
  <si>
    <t>Kod I Institucinit</t>
  </si>
  <si>
    <t>Kapitulli</t>
  </si>
  <si>
    <t>Programi</t>
  </si>
  <si>
    <t xml:space="preserve">Nen llogaria </t>
  </si>
  <si>
    <t xml:space="preserve">Kodi I deges se thesarit </t>
  </si>
  <si>
    <t xml:space="preserve">Kodi I projektit </t>
  </si>
  <si>
    <t xml:space="preserve">Tipi I Buxhetit </t>
  </si>
  <si>
    <t>SPARE 1</t>
  </si>
  <si>
    <t>SPARE 2</t>
  </si>
  <si>
    <t>Debiti Vjetor 2019</t>
  </si>
  <si>
    <t>Emer Institucionit</t>
  </si>
  <si>
    <t>001</t>
  </si>
  <si>
    <t>00000</t>
  </si>
  <si>
    <t>91307AC</t>
  </si>
  <si>
    <t>LD</t>
  </si>
  <si>
    <t>00</t>
  </si>
  <si>
    <t>Shtep.Moshuarve Tirane</t>
  </si>
  <si>
    <t>2115019</t>
  </si>
  <si>
    <t>Shtep.Moshuarve Gjirokaster</t>
  </si>
  <si>
    <t>2111020</t>
  </si>
  <si>
    <t>0909</t>
  </si>
  <si>
    <t>Shtep.Moshuarve Fier</t>
  </si>
  <si>
    <t>2118010</t>
  </si>
  <si>
    <t>Shtep.Moshuarve Kavaje</t>
  </si>
  <si>
    <t>1013144</t>
  </si>
  <si>
    <t>Shtep.Moshuarve Shkoder</t>
  </si>
  <si>
    <t>140</t>
  </si>
  <si>
    <t>2140003</t>
  </si>
  <si>
    <t>0232</t>
  </si>
  <si>
    <t>Qendra Polivalente Polican</t>
  </si>
  <si>
    <t>1013145</t>
  </si>
  <si>
    <t>3737</t>
  </si>
  <si>
    <t xml:space="preserve">Qendra Komunitare Palase </t>
  </si>
  <si>
    <t>2138009</t>
  </si>
  <si>
    <t>Qendr. Polivalente Sarande</t>
  </si>
  <si>
    <t>2166002</t>
  </si>
  <si>
    <t>Qendr. Ditore Kamez</t>
  </si>
  <si>
    <t>1013137</t>
  </si>
  <si>
    <t>Shtep. Foshnjes Tirane</t>
  </si>
  <si>
    <t>2122015</t>
  </si>
  <si>
    <t>Shtep. Foshnjes Korçe</t>
  </si>
  <si>
    <t>2141035</t>
  </si>
  <si>
    <t>Shtep. Foshnjes Shkoder</t>
  </si>
  <si>
    <t>2107019</t>
  </si>
  <si>
    <t>0707</t>
  </si>
  <si>
    <t>Shtep. Foshnjes Durres</t>
  </si>
  <si>
    <t>2146030</t>
  </si>
  <si>
    <t>Shtep. Foshnjes Vlore</t>
  </si>
  <si>
    <t>2101153</t>
  </si>
  <si>
    <t>Qend. Zhvillimit Tirane</t>
  </si>
  <si>
    <t>Qend. Zhvillimit Durres</t>
  </si>
  <si>
    <t>2122018</t>
  </si>
  <si>
    <t>Qend. Zhvillimit Korçe</t>
  </si>
  <si>
    <t>2141037</t>
  </si>
  <si>
    <t>Qend. Zhvillimit Shkoder</t>
  </si>
  <si>
    <t>2102019</t>
  </si>
  <si>
    <t>0202</t>
  </si>
  <si>
    <t>Qend. Zhvillimit Berat</t>
  </si>
  <si>
    <t>2146031</t>
  </si>
  <si>
    <t>Qend. Zhvillimit Vlore</t>
  </si>
  <si>
    <t>2127010</t>
  </si>
  <si>
    <t>Qend. Zhvillim Ditor Lezhe</t>
  </si>
  <si>
    <t>2122020</t>
  </si>
  <si>
    <t>Qend. Zhvillim Ditor Korçe</t>
  </si>
  <si>
    <t>1013140</t>
  </si>
  <si>
    <t>Qen. Pritese Viktim. Linze</t>
  </si>
  <si>
    <t>1013142</t>
  </si>
  <si>
    <t>3535</t>
  </si>
  <si>
    <t>Qendra Kombtare dhunes Familje</t>
  </si>
  <si>
    <t>1013143</t>
  </si>
  <si>
    <t>Qendra Kombtare e Emergjences</t>
  </si>
  <si>
    <t>1013146</t>
  </si>
  <si>
    <t>Shtëp e Fëmijës 16-18 Shkodër</t>
  </si>
  <si>
    <t>2141038</t>
  </si>
  <si>
    <t>Shtep.Fem.Shkoll. Shkoder</t>
  </si>
  <si>
    <t>1013135</t>
  </si>
  <si>
    <t>Shtep.Fem.Shkoll. Tirane</t>
  </si>
  <si>
    <t>2138010</t>
  </si>
  <si>
    <t>Shtep.Fem.Shkoll. Sarande</t>
  </si>
  <si>
    <t>1013141</t>
  </si>
  <si>
    <t>Admin. Qendrore SHSSH</t>
  </si>
  <si>
    <t>91307AD</t>
  </si>
  <si>
    <t>91307AA</t>
  </si>
  <si>
    <t>91307AB</t>
  </si>
  <si>
    <t>1013124</t>
  </si>
  <si>
    <t>Zyra Rajonale e Kujd. Social Berat</t>
  </si>
  <si>
    <t>1013125</t>
  </si>
  <si>
    <t>0606</t>
  </si>
  <si>
    <t>Zyra Rajonale e Kujd.Social Diber</t>
  </si>
  <si>
    <t>1013126</t>
  </si>
  <si>
    <t>Zyra Rajonale e Kujd..Social Durres</t>
  </si>
  <si>
    <t>1013127</t>
  </si>
  <si>
    <t>0808</t>
  </si>
  <si>
    <t>Zyra Rajon. Kujd.Social Elbasan</t>
  </si>
  <si>
    <t>1013128</t>
  </si>
  <si>
    <t>Zyra Rajon. Kujd.Social Fier</t>
  </si>
  <si>
    <t>1013129</t>
  </si>
  <si>
    <t>Zyra Rajon.Kujd.Soc. Gjirokaster</t>
  </si>
  <si>
    <t>1013130</t>
  </si>
  <si>
    <t>Zyra Rajonale Kujd.Social Korçe</t>
  </si>
  <si>
    <t>1013131</t>
  </si>
  <si>
    <t>Zyra Rajonale Kujd.Social Kukes</t>
  </si>
  <si>
    <t>1013132</t>
  </si>
  <si>
    <t>Zyra Rajonale Kujd.Social Lezhe</t>
  </si>
  <si>
    <t>1013133</t>
  </si>
  <si>
    <t>Zyra Rajon. Kujd.Social Shkoder</t>
  </si>
  <si>
    <t>1013134</t>
  </si>
  <si>
    <t>Zyra Rajonale Kujd.Social Vlore</t>
  </si>
  <si>
    <t>1013123</t>
  </si>
  <si>
    <t>Zyra Rajonale Kujd.Social Tirane</t>
  </si>
  <si>
    <t>91307AE</t>
  </si>
  <si>
    <t xml:space="preserve">Agjensia Shteterore per Mbrojtjen e te Drejtave te Femijeve </t>
  </si>
  <si>
    <t>102</t>
  </si>
  <si>
    <t>2102001</t>
  </si>
  <si>
    <t>Berat</t>
  </si>
  <si>
    <t>167</t>
  </si>
  <si>
    <t>2167001</t>
  </si>
  <si>
    <t>Ura Vajgurore</t>
  </si>
  <si>
    <t>124</t>
  </si>
  <si>
    <t>2124001</t>
  </si>
  <si>
    <t>0217</t>
  </si>
  <si>
    <t>Kuçove</t>
  </si>
  <si>
    <t>139</t>
  </si>
  <si>
    <t>2139001</t>
  </si>
  <si>
    <t>Skrapar</t>
  </si>
  <si>
    <t>2140001</t>
  </si>
  <si>
    <t>Poliçan</t>
  </si>
  <si>
    <t xml:space="preserve">Dibër </t>
  </si>
  <si>
    <t>103</t>
  </si>
  <si>
    <t>2103001</t>
  </si>
  <si>
    <t>0603</t>
  </si>
  <si>
    <t>Bulqize</t>
  </si>
  <si>
    <t>132</t>
  </si>
  <si>
    <t>2132001</t>
  </si>
  <si>
    <t>0613</t>
  </si>
  <si>
    <t>Mat</t>
  </si>
  <si>
    <t>654</t>
  </si>
  <si>
    <t>2654001</t>
  </si>
  <si>
    <t>Klos</t>
  </si>
  <si>
    <t>107</t>
  </si>
  <si>
    <t>2107001</t>
  </si>
  <si>
    <t>Durrës</t>
  </si>
  <si>
    <t>108</t>
  </si>
  <si>
    <t>2108001</t>
  </si>
  <si>
    <t>Shijak</t>
  </si>
  <si>
    <t>123</t>
  </si>
  <si>
    <t>2123001</t>
  </si>
  <si>
    <t>0716</t>
  </si>
  <si>
    <t>Krujë</t>
  </si>
  <si>
    <t>109</t>
  </si>
  <si>
    <t>2109001</t>
  </si>
  <si>
    <t>Elbasan</t>
  </si>
  <si>
    <t>110</t>
  </si>
  <si>
    <t>2110001</t>
  </si>
  <si>
    <t>Cërrik</t>
  </si>
  <si>
    <t>152</t>
  </si>
  <si>
    <t>2152001</t>
  </si>
  <si>
    <t>Belsh</t>
  </si>
  <si>
    <t>134</t>
  </si>
  <si>
    <t>2134001</t>
  </si>
  <si>
    <t>0827</t>
  </si>
  <si>
    <t>Peqin</t>
  </si>
  <si>
    <t>114</t>
  </si>
  <si>
    <t>2114001</t>
  </si>
  <si>
    <t>0810</t>
  </si>
  <si>
    <t>Gramsh</t>
  </si>
  <si>
    <t>128</t>
  </si>
  <si>
    <t>2128001</t>
  </si>
  <si>
    <t>0821</t>
  </si>
  <si>
    <t>Librazhd</t>
  </si>
  <si>
    <t>153</t>
  </si>
  <si>
    <t>2153001</t>
  </si>
  <si>
    <t>Prrenjas</t>
  </si>
  <si>
    <t>111</t>
  </si>
  <si>
    <t>2111001</t>
  </si>
  <si>
    <t>Fier</t>
  </si>
  <si>
    <t>112</t>
  </si>
  <si>
    <t>2112001</t>
  </si>
  <si>
    <t>Patos</t>
  </si>
  <si>
    <t>113</t>
  </si>
  <si>
    <t>2113001</t>
  </si>
  <si>
    <t>Roskovec</t>
  </si>
  <si>
    <t>129</t>
  </si>
  <si>
    <t>2129001</t>
  </si>
  <si>
    <t>0922</t>
  </si>
  <si>
    <t>Lushnjë</t>
  </si>
  <si>
    <t>147</t>
  </si>
  <si>
    <t>2147001</t>
  </si>
  <si>
    <t>Divjakë</t>
  </si>
  <si>
    <t>131</t>
  </si>
  <si>
    <t>2131001</t>
  </si>
  <si>
    <t>0924</t>
  </si>
  <si>
    <t>Mallakastër</t>
  </si>
  <si>
    <t>2115001</t>
  </si>
  <si>
    <t>1111</t>
  </si>
  <si>
    <t>Gjirokastër</t>
  </si>
  <si>
    <t>116</t>
  </si>
  <si>
    <t>2116001</t>
  </si>
  <si>
    <t>Libohovë</t>
  </si>
  <si>
    <t>142</t>
  </si>
  <si>
    <t>2142001</t>
  </si>
  <si>
    <t>1134</t>
  </si>
  <si>
    <t>Tepelenë</t>
  </si>
  <si>
    <t>143</t>
  </si>
  <si>
    <t>2143001</t>
  </si>
  <si>
    <t>Memaliaj</t>
  </si>
  <si>
    <t>135</t>
  </si>
  <si>
    <t>2135001</t>
  </si>
  <si>
    <t>1128</t>
  </si>
  <si>
    <t xml:space="preserve">Përmet </t>
  </si>
  <si>
    <t>154</t>
  </si>
  <si>
    <t>2154001</t>
  </si>
  <si>
    <t>Këlcyrë</t>
  </si>
  <si>
    <t>452</t>
  </si>
  <si>
    <t>2452001</t>
  </si>
  <si>
    <t>Dropull</t>
  </si>
  <si>
    <t>122</t>
  </si>
  <si>
    <t>2122001</t>
  </si>
  <si>
    <t>1515</t>
  </si>
  <si>
    <t>Korçë</t>
  </si>
  <si>
    <t>168</t>
  </si>
  <si>
    <t>2168001</t>
  </si>
  <si>
    <t>Maliq</t>
  </si>
  <si>
    <t>499</t>
  </si>
  <si>
    <t>2499001</t>
  </si>
  <si>
    <t>Pustec</t>
  </si>
  <si>
    <t>120</t>
  </si>
  <si>
    <t>2120001</t>
  </si>
  <si>
    <t>1514</t>
  </si>
  <si>
    <t>Kolonjë</t>
  </si>
  <si>
    <t>105</t>
  </si>
  <si>
    <t>2105001</t>
  </si>
  <si>
    <t>1505</t>
  </si>
  <si>
    <t>Devoll</t>
  </si>
  <si>
    <t>136</t>
  </si>
  <si>
    <t>2136001</t>
  </si>
  <si>
    <t>1529</t>
  </si>
  <si>
    <t>Pogradec</t>
  </si>
  <si>
    <t>2125001</t>
  </si>
  <si>
    <t>1818</t>
  </si>
  <si>
    <t>Kukës</t>
  </si>
  <si>
    <t>117</t>
  </si>
  <si>
    <t>2117001</t>
  </si>
  <si>
    <t>1812</t>
  </si>
  <si>
    <t>Has</t>
  </si>
  <si>
    <t>145</t>
  </si>
  <si>
    <t>2145001</t>
  </si>
  <si>
    <t>1836</t>
  </si>
  <si>
    <t>Tropojë</t>
  </si>
  <si>
    <t>127</t>
  </si>
  <si>
    <t>2127001</t>
  </si>
  <si>
    <t>2020</t>
  </si>
  <si>
    <t>Lezhë</t>
  </si>
  <si>
    <t>133</t>
  </si>
  <si>
    <t>2133001</t>
  </si>
  <si>
    <t>2026</t>
  </si>
  <si>
    <t>Mirditë</t>
  </si>
  <si>
    <t>126</t>
  </si>
  <si>
    <t>2126001</t>
  </si>
  <si>
    <t>2019</t>
  </si>
  <si>
    <t>Kurbin</t>
  </si>
  <si>
    <t>130</t>
  </si>
  <si>
    <t>2130001</t>
  </si>
  <si>
    <t>3323</t>
  </si>
  <si>
    <t>Malësi e Madhe</t>
  </si>
  <si>
    <t>141</t>
  </si>
  <si>
    <t>2141001</t>
  </si>
  <si>
    <t>3333</t>
  </si>
  <si>
    <t>Shkodër</t>
  </si>
  <si>
    <t>157</t>
  </si>
  <si>
    <t>2157001</t>
  </si>
  <si>
    <t>Vau-Dejes</t>
  </si>
  <si>
    <t>137</t>
  </si>
  <si>
    <t>2137001</t>
  </si>
  <si>
    <t>3330</t>
  </si>
  <si>
    <t>Pukë</t>
  </si>
  <si>
    <t>155</t>
  </si>
  <si>
    <t>2155001</t>
  </si>
  <si>
    <t>Fushë-Arrëz</t>
  </si>
  <si>
    <t>101</t>
  </si>
  <si>
    <t>2101001</t>
  </si>
  <si>
    <t>Tiranë</t>
  </si>
  <si>
    <t>166</t>
  </si>
  <si>
    <t>2166001</t>
  </si>
  <si>
    <t>Kamez</t>
  </si>
  <si>
    <t>165</t>
  </si>
  <si>
    <t>2165001</t>
  </si>
  <si>
    <t>Vorë</t>
  </si>
  <si>
    <t>118</t>
  </si>
  <si>
    <t>2118001</t>
  </si>
  <si>
    <t>3513</t>
  </si>
  <si>
    <t>Kavajë</t>
  </si>
  <si>
    <t>119</t>
  </si>
  <si>
    <t>2119001</t>
  </si>
  <si>
    <t>Rrogozhinë</t>
  </si>
  <si>
    <t>146</t>
  </si>
  <si>
    <t>2146001</t>
  </si>
  <si>
    <t>Vlorë</t>
  </si>
  <si>
    <t>159</t>
  </si>
  <si>
    <t>2159001</t>
  </si>
  <si>
    <t>Selenicë</t>
  </si>
  <si>
    <t>160</t>
  </si>
  <si>
    <t>2160001</t>
  </si>
  <si>
    <t>Himarë</t>
  </si>
  <si>
    <t>138</t>
  </si>
  <si>
    <t>2138001</t>
  </si>
  <si>
    <t>3731</t>
  </si>
  <si>
    <t>Sarandë</t>
  </si>
  <si>
    <t>156</t>
  </si>
  <si>
    <t>2156001</t>
  </si>
  <si>
    <t>Konispol</t>
  </si>
  <si>
    <t>326</t>
  </si>
  <si>
    <t>2326001</t>
  </si>
  <si>
    <t>3704</t>
  </si>
  <si>
    <t>Finiq</t>
  </si>
  <si>
    <t>104</t>
  </si>
  <si>
    <t>2104001</t>
  </si>
  <si>
    <t>Delvinë</t>
  </si>
  <si>
    <t>MINISTRIA SHËNDETËSISË DHE MBROJTJES SOCIALE</t>
  </si>
  <si>
    <t>Kerkesa per transferim fondesh 606 (Mbrojtja Sociale) NE dhe PAK viti 2019,</t>
  </si>
  <si>
    <t>Tabela1 (Plan Buxheti)</t>
  </si>
  <si>
    <t>(në Lekë)</t>
  </si>
  <si>
    <t>Enti
Qever.</t>
  </si>
  <si>
    <t xml:space="preserve">Kodi Grupit
</t>
  </si>
  <si>
    <t>Kodi
Institucionit</t>
  </si>
  <si>
    <t>Emërtimi i institucionit</t>
  </si>
  <si>
    <t>Prog-rami</t>
  </si>
  <si>
    <t>Llogaria
Ekonomike</t>
  </si>
  <si>
    <t>Kodi
 Degës
Thesarit</t>
  </si>
  <si>
    <t>Kodi 
Produktit</t>
  </si>
  <si>
    <t>Debiti
Lekë</t>
  </si>
  <si>
    <t>SHTESA</t>
  </si>
  <si>
    <t>01</t>
  </si>
  <si>
    <t>10430</t>
  </si>
  <si>
    <t>0625</t>
  </si>
  <si>
    <t>Durres</t>
  </si>
  <si>
    <t>Kruje</t>
  </si>
  <si>
    <t>Cerrik</t>
  </si>
  <si>
    <t>Lushnje</t>
  </si>
  <si>
    <t>Divjake</t>
  </si>
  <si>
    <t>Mallakster</t>
  </si>
  <si>
    <t>Gjirokaster</t>
  </si>
  <si>
    <t>Libohove</t>
  </si>
  <si>
    <t>Tepelene</t>
  </si>
  <si>
    <t>Permet</t>
  </si>
  <si>
    <t>Kelcyre</t>
  </si>
  <si>
    <t>Korce</t>
  </si>
  <si>
    <t>Kolonje</t>
  </si>
  <si>
    <t>Kukes</t>
  </si>
  <si>
    <t>Tropoje</t>
  </si>
  <si>
    <t>Lezhe</t>
  </si>
  <si>
    <t>Mirdite</t>
  </si>
  <si>
    <t>Malesi e Madhe</t>
  </si>
  <si>
    <t>Shkoder</t>
  </si>
  <si>
    <t>Vau I Dejes</t>
  </si>
  <si>
    <t>Puke</t>
  </si>
  <si>
    <t>Fushe Arrez</t>
  </si>
  <si>
    <t>Tirane</t>
  </si>
  <si>
    <t>Vore</t>
  </si>
  <si>
    <t>Kavaje</t>
  </si>
  <si>
    <t>Rrogozhine</t>
  </si>
  <si>
    <t>Vlore</t>
  </si>
  <si>
    <t>Selenice</t>
  </si>
  <si>
    <t>Himare</t>
  </si>
  <si>
    <t>Sarande</t>
  </si>
  <si>
    <t>Delvine</t>
  </si>
  <si>
    <t>PAKËSIMI</t>
  </si>
  <si>
    <t xml:space="preserve">Drejtori I Përgjithshëm </t>
  </si>
  <si>
    <t xml:space="preserve">Luneda Sufali </t>
  </si>
  <si>
    <t xml:space="preserve">në mungesë dhe me porosi </t>
  </si>
  <si>
    <t xml:space="preserve">Zv. Drejtor I Përgjithshëm </t>
  </si>
  <si>
    <t xml:space="preserve">Lida Leskaj </t>
  </si>
  <si>
    <t>Tab 2 (Plan-Thesari)</t>
  </si>
  <si>
    <t xml:space="preserve">Muaji </t>
  </si>
  <si>
    <t>02/2019</t>
  </si>
  <si>
    <t>1</t>
  </si>
  <si>
    <t>Kërkesë per celjen e fondeve të NE dhe PAK Maj-Qershor 2019</t>
  </si>
  <si>
    <t>Nën llo-garia</t>
  </si>
  <si>
    <t>Tipi
Buxhetit</t>
  </si>
  <si>
    <t>SPARE
1</t>
  </si>
  <si>
    <t>SPARE 
2</t>
  </si>
  <si>
    <t>0000</t>
  </si>
  <si>
    <t>0</t>
  </si>
  <si>
    <t>PAKSIME</t>
  </si>
  <si>
    <t>SHSSH</t>
  </si>
  <si>
    <t>DREJTOR I PËRGJITHSHËM</t>
  </si>
  <si>
    <t>Luneda Sufali</t>
  </si>
  <si>
    <t>Në mungesë dhe me porosi</t>
  </si>
  <si>
    <t>ZV/DREJTORI I PËRGJITHSHËM</t>
  </si>
  <si>
    <t>Lida Leskaj</t>
  </si>
  <si>
    <t xml:space="preserve">Tab  2. Thesari </t>
  </si>
  <si>
    <t>Muaji</t>
  </si>
  <si>
    <t>04.2019</t>
  </si>
  <si>
    <t>Kërkesë per celjen e fondeve të NE dhe PAK Korrik-Gushtin 2019</t>
  </si>
  <si>
    <t>Emri I Institucionit</t>
  </si>
  <si>
    <t>Kodi I produktit</t>
  </si>
  <si>
    <t>125</t>
  </si>
  <si>
    <t>Tab 2</t>
  </si>
  <si>
    <t>Kodi I thesarit</t>
  </si>
  <si>
    <t>Debiti Vjetor 2020</t>
  </si>
  <si>
    <t>06,2019</t>
  </si>
  <si>
    <t>Kërkesë per celjen e fondeve të NE dhe PAK Shtator-Tetor 2019</t>
  </si>
  <si>
    <t>DREJTOR I PERGJITHSHEM</t>
  </si>
  <si>
    <t>Luneda SUFALI</t>
  </si>
  <si>
    <t>Tabela  2</t>
  </si>
  <si>
    <t>08,2019</t>
  </si>
  <si>
    <t>Kërkesë per celjen e fondeve të NE dhe PAK Nëntor-Dhjetor 2019</t>
  </si>
  <si>
    <t>10/2019</t>
  </si>
  <si>
    <t>Fondet e Shpenzuara Janar 2020 sipas MF</t>
  </si>
  <si>
    <t>Fondet e Shpenzuara Shkurt 2020 sipas MF</t>
  </si>
  <si>
    <t>Fondet e Shpenzuara Mars 2020 sipas MF</t>
  </si>
  <si>
    <t>Fondet e Shpenzuara Prill 2020 sipas MF</t>
  </si>
  <si>
    <t>Fondet e Shpenzuara Maj 2020 sipas MF</t>
  </si>
  <si>
    <t>Fondet e Shpenzuara Qershor 2020 sipas MF</t>
  </si>
  <si>
    <t>Fondet e Shpenzuara Korrik 2020 sipas MF</t>
  </si>
  <si>
    <t>Fondet e Shpenzuara Gusht 2020 sipas MF</t>
  </si>
  <si>
    <t>Fondet e Shpenzuara Shtator 2020 sipas MF</t>
  </si>
  <si>
    <t>Fondet e Shpenzuara Tetor 2020 sipas MF</t>
  </si>
  <si>
    <t>Fondet e Shpenzuara Nentor 2020 sipas MF</t>
  </si>
  <si>
    <t>Fondet e Shpenzuara Dhjetor 2020 sipas MF</t>
  </si>
  <si>
    <t>Totali Faktik i shpenzuar NE</t>
  </si>
  <si>
    <t>Ministria e Shëndetësisë dhe Mbrojtjes Sociale</t>
  </si>
  <si>
    <t>Realizimi i Shpenzimeve për periudhën Janar 2020</t>
  </si>
  <si>
    <t>EMËRTIMI</t>
  </si>
  <si>
    <t xml:space="preserve">Plani VJETOR </t>
  </si>
  <si>
    <t xml:space="preserve">Plan Vjetor </t>
  </si>
  <si>
    <t>Plan Progresiv</t>
  </si>
  <si>
    <t>Fakt</t>
  </si>
  <si>
    <t xml:space="preserve"> Lekë</t>
  </si>
  <si>
    <t xml:space="preserve">600 Të ardhurat </t>
  </si>
  <si>
    <t xml:space="preserve">601 Të ardhurat </t>
  </si>
  <si>
    <t>602 Të ardhurat</t>
  </si>
  <si>
    <t xml:space="preserve">231 Investime </t>
  </si>
  <si>
    <t>Qendra Komunitare Palase</t>
  </si>
  <si>
    <t>SHUMA</t>
  </si>
  <si>
    <t>Gjthsej Institucionet</t>
  </si>
  <si>
    <t>Shuma Drejtorive Rajonale</t>
  </si>
  <si>
    <t>Agjensia e Mbrojtjes se Femijëve</t>
  </si>
  <si>
    <t>Ndihma ekonomike</t>
  </si>
  <si>
    <t>Pagesa e PAK</t>
  </si>
  <si>
    <t xml:space="preserve">Bonusi i Bebes </t>
  </si>
  <si>
    <t>Ndërmarjet Sociale</t>
  </si>
  <si>
    <t xml:space="preserve">Fondi Social </t>
  </si>
  <si>
    <t>Familje rome dhe egjiptiane ne nevojë qe përfitojne nga skema e NE</t>
  </si>
  <si>
    <t>Regjistri i parashikimeve të prokurimit publik</t>
  </si>
  <si>
    <t>Shtepia e te Moshuarve Shkoder</t>
  </si>
  <si>
    <t>Kodet CVP</t>
  </si>
  <si>
    <t>Lloji i prokurimit</t>
  </si>
  <si>
    <t>Tipi</t>
  </si>
  <si>
    <t>Tipi i kontratës</t>
  </si>
  <si>
    <t>Lloji i regjistrit të prokurimit</t>
  </si>
  <si>
    <t>Fondi i përllogaritur</t>
  </si>
  <si>
    <t>Burimi i Financimit</t>
  </si>
  <si>
    <t>Vlera</t>
  </si>
  <si>
    <t>Koha e planifikuar për zhvillimin e procedurës</t>
  </si>
  <si>
    <t>I modifikuar</t>
  </si>
  <si>
    <t>Organi qendror</t>
  </si>
  <si>
    <t>Prokurim</t>
  </si>
  <si>
    <t>Kontrate</t>
  </si>
  <si>
    <t>Shërbime</t>
  </si>
  <si>
    <t>Blerje nen vleren 100 000 Leke</t>
  </si>
  <si>
    <t>Buxheti i shtetit</t>
  </si>
  <si>
    <t>Dhjetor</t>
  </si>
  <si>
    <t>Jo</t>
  </si>
  <si>
    <t>Vetë Financim</t>
  </si>
  <si>
    <t>Fonde të tjera</t>
  </si>
  <si>
    <t>Sherbime te tjera te ndryshme</t>
  </si>
  <si>
    <t xml:space="preserve"> Shërbime riparimi, mirëmbajtjeje dhe shërbime të tjera të lidhura me hekurudhat dhe pajisje të tjera</t>
  </si>
  <si>
    <t>Blerje medikamente e materiale mjeksore</t>
  </si>
  <si>
    <t xml:space="preserve"> Shërbime spitalore dhe të lidhura</t>
  </si>
  <si>
    <t>Mallra</t>
  </si>
  <si>
    <t>Procedure Prokurimi</t>
  </si>
  <si>
    <t>Prill</t>
  </si>
  <si>
    <t>Sherbime hotelerie</t>
  </si>
  <si>
    <t xml:space="preserve"> Shërbime hoteliere</t>
  </si>
  <si>
    <t>Sherbim rruarje dhe qethje</t>
  </si>
  <si>
    <t xml:space="preserve"> Shërbime pastrimi</t>
  </si>
  <si>
    <t>Blerje gaz per gatim</t>
  </si>
  <si>
    <t xml:space="preserve"> Materiale të shtypura me porosi</t>
  </si>
  <si>
    <t>Sherbim mirmbajtje ashensori</t>
  </si>
  <si>
    <t xml:space="preserve"> Sherbim menaxhimi i impianteve elektrike</t>
  </si>
  <si>
    <t>Blerje materiale  hotelerie</t>
  </si>
  <si>
    <t xml:space="preserve"> Materiale të tjera të ndryshme të ndërtimit</t>
  </si>
  <si>
    <t>Blerje detergjente e materiale pastrimi</t>
  </si>
  <si>
    <t>Drejtor I Financave dhe Statistikës</t>
  </si>
  <si>
    <t>Aida Çavo</t>
  </si>
  <si>
    <t>Shtepia e te Moshuarve Gjirokaster</t>
  </si>
  <si>
    <t>Batanije dhe çarçafë</t>
  </si>
  <si>
    <t xml:space="preserve"> Batanije, Çarçafë</t>
  </si>
  <si>
    <t xml:space="preserve"> Stilolapsa, Lapsa, Letër fotokopjuese, Bobina shkrimi për printera, Vizore, Ngjitësa, Blloqe</t>
  </si>
  <si>
    <t>Asistencë juridike</t>
  </si>
  <si>
    <t xml:space="preserve"> Shërbime të konsulencës ligjore</t>
  </si>
  <si>
    <t xml:space="preserve"> Oriz, Perime, Mish lope, Mish qengji, Mish i grirë viçi, Vaj gatimi, Qumësht, Djathë i freskët, Djathë feta, Miell gruri, Bukë, Sheqer, Makarona të papjekura, Pije jo-alkolike, Acid dhe kripëra nitrike</t>
  </si>
  <si>
    <t>Amendament per nevojat e fillim vitit</t>
  </si>
  <si>
    <t>Janar</t>
  </si>
  <si>
    <t>Blerje artikuj ushqimor për nevojat e "Shtëpisë së të Moshuarve Gjirokastër" për vitin 2020</t>
  </si>
  <si>
    <t xml:space="preserve"> Oriz, Perime, Mish lope, Mish qengji, Mish i grirë viçi, Vaj gatimi, Qumësht, Djathë i freskët, Djathë feta, Miell gruri, Bukë, Sheqer, Makarona të papjekura, Kripë, Pije jo-alkolike</t>
  </si>
  <si>
    <t>Marreveshje Kuader</t>
  </si>
  <si>
    <t>Gaz gatimi</t>
  </si>
  <si>
    <t>Lyerje ambjentesh dhe fasade</t>
  </si>
  <si>
    <t xml:space="preserve"> Funde, Pantallona, Pulovra, Mbathje, Çorape, Bluza, Peshqirë</t>
  </si>
  <si>
    <t>Medikamente mjekësore</t>
  </si>
  <si>
    <t>Restaurim dhe pajisje me rafte guzhina</t>
  </si>
  <si>
    <t xml:space="preserve"> Rafte</t>
  </si>
  <si>
    <t>Dezinfektim</t>
  </si>
  <si>
    <t xml:space="preserve"> Dizinfektues, Antiseptikë dhe dizinfektues, Dizinfektues ajri</t>
  </si>
  <si>
    <t>Shërbim transporti</t>
  </si>
  <si>
    <t>Restaurim i lavatriçeve dhe pajisjeve frigoriferike</t>
  </si>
  <si>
    <t>Ilaçe dhe medikamente mjekesore</t>
  </si>
  <si>
    <t xml:space="preserve"> Materiale mjekësore të konsumueshme, Garzë mjekësore, Tampone mjekësore, Gjilpëra mjekësore, Produkte të ndryshme mjekësore, Solucione mjekësore</t>
  </si>
  <si>
    <t>Materiale të buta</t>
  </si>
  <si>
    <t xml:space="preserve"> Batanije, Çarçafë, Mbulesa tavoline, Jastëkë</t>
  </si>
  <si>
    <t>BLERJE ARTIKUJ USHQIMORË</t>
  </si>
  <si>
    <t xml:space="preserve"> Vezë, Oriz, Produkte shtazore, mish dhe produkte të mishit, Fruta, perime dhe produkteve të përafërta, Vaj ulliri, Qumësht, Gjalpë, Djathë tavoline, Produkte buke, Bukë, Sheqer</t>
  </si>
  <si>
    <t>Gaz për gatim</t>
  </si>
  <si>
    <t>Bebelino pë të moshuarit</t>
  </si>
  <si>
    <t xml:space="preserve"> Priza dhe spina, Llamba, Materiale elektrike, Rezistenca, Materiale ndërtimi dhe produkte të ngjashme, Tubacione të ujit të pijshëm</t>
  </si>
  <si>
    <t>Telefon, internet, televizor</t>
  </si>
  <si>
    <t xml:space="preserve"> Lidhje telefonike, Shërbimet e internetit</t>
  </si>
  <si>
    <t>Shërbime transporti për të moshuarit</t>
  </si>
  <si>
    <t xml:space="preserve"> Transport i udhëtarëve i paplanifikuar, Shërbime transporti mbajtëse dhe ndihmëse; shërbime të agjensive të udhëtimit</t>
  </si>
  <si>
    <t xml:space="preserve"> Librat e llogarisë, Bllok shënimesh, Bllok me letra shënimesh me ngjitëse, Dosje, Stilolapsa, Lapsa, Letër printimi, Zarfa, Vizore, Ngjitësa</t>
  </si>
  <si>
    <t xml:space="preserve"> Sapun, Produkte pastrimi, Detergjentë, Detergjentë për enë</t>
  </si>
  <si>
    <t>Shtepia e te Moshuarve Kavaje</t>
  </si>
  <si>
    <t>Sherbime pritje percjellje</t>
  </si>
  <si>
    <t xml:space="preserve"> Shërbime pritjeje</t>
  </si>
  <si>
    <t>Sherbim mirmbajtje Ndertimore</t>
  </si>
  <si>
    <t>Mirmbajtje te zakonshme</t>
  </si>
  <si>
    <t xml:space="preserve"> Materiale elektrike, Materiale hidraulike dhe ngrohje, Materiale bashkimi ose saldimi</t>
  </si>
  <si>
    <t>Blerje gaz Butan</t>
  </si>
  <si>
    <t>Po</t>
  </si>
  <si>
    <t>Shtese kontrate 20% blerje ushqime.</t>
  </si>
  <si>
    <t xml:space="preserve"> Ushqim i thatë</t>
  </si>
  <si>
    <t xml:space="preserve"> Toner për makinat fotokopjuese, Letër fotokopjuese dhe letër kopjative, Lapsa me ngjyra</t>
  </si>
  <si>
    <t>Blerje materiale per pastrim ,desifektim dhe ndricim.</t>
  </si>
  <si>
    <t xml:space="preserve"> Materiale një përdorimshe për hoteleri, Detergjentë, Shërbime pastrimi</t>
  </si>
  <si>
    <t>Blerje veshje dhe materiale te buta</t>
  </si>
  <si>
    <t xml:space="preserve"> Pulovra, triko dhe artikuj të ngjashëm, Xhupa, Këpucë, Çorape ose trikotazhe mbrojtëse, Batanije, Çarçafë</t>
  </si>
  <si>
    <t>Shpenzime udhetim i brendshem</t>
  </si>
  <si>
    <t xml:space="preserve"> Sherbime te agjensive te udhetimit,ciceron dhe asistence turistesh</t>
  </si>
  <si>
    <t>Blerje materiale didaktike</t>
  </si>
  <si>
    <t xml:space="preserve"> Lojra dhe lodra; zbavitëse në natyrë, Letra për të luajtur</t>
  </si>
  <si>
    <t>Te tjera materiale dhe sherbime speciale</t>
  </si>
  <si>
    <t xml:space="preserve"> Drithëra, patate, perime, fruta dhe arra, Produkte shtazore, mish dhe produkte të mishit, Ushqime të thata, Ushqime për shkollë</t>
  </si>
  <si>
    <t xml:space="preserve"> Shërbime  të  ndryshme të biznesit</t>
  </si>
  <si>
    <t>Blerje materiale detergjente</t>
  </si>
  <si>
    <t>Mirembajtje dyer dritare</t>
  </si>
  <si>
    <t>Sherbim mirembajtje lavanterie</t>
  </si>
  <si>
    <t>Blerje ushqime per  vitin 2020 per qendren  polivalente per sherbime te perkujdesit shoqeror Polican</t>
  </si>
  <si>
    <t xml:space="preserve"> Produkte bujqësore, blegtorale, peshkimi, pylltarie dhe produkte të përafërta me to, Produktet bujqësore, produkte kopshtarie komerciale, Oriz, Produkte blegtorale, Fruta dhe perime të përpunuara, Bukë, Ushqime për mëngjes, Makarona të përgatitura</t>
  </si>
  <si>
    <t xml:space="preserve"> Letër e  vazhdueshme për printera kompjuteri</t>
  </si>
  <si>
    <t>Sherbim mirembajtje te sistemit ngrohes</t>
  </si>
  <si>
    <t>Shpenzime transporti per te moshuarit e qendres polivalente</t>
  </si>
  <si>
    <t xml:space="preserve"> Prerje dhe mbushje</t>
  </si>
  <si>
    <t>Sherbim mirmbajtje paisje te kuzhines</t>
  </si>
  <si>
    <t>Sherbim mirembajtje paisje kompjuterike</t>
  </si>
  <si>
    <t>Dizifektim, deratizim i ambjenteve te qendres</t>
  </si>
  <si>
    <t xml:space="preserve"> Shërbime administrative për ndërtesat dhe objektet menaxherialë</t>
  </si>
  <si>
    <t>Shtator</t>
  </si>
  <si>
    <t>Sherbime per mirembajtje godine</t>
  </si>
  <si>
    <t xml:space="preserve"> Mirëmbajtje çatie</t>
  </si>
  <si>
    <t>Kontrate shtese (Ushqime koloniale)</t>
  </si>
  <si>
    <t>Agjencia e Blerjeve te Perqendruara</t>
  </si>
  <si>
    <t>Tetor</t>
  </si>
  <si>
    <t>Shpenzime transporti me autobuz.</t>
  </si>
  <si>
    <t>Piknik dhe eskursion me te moshuarit</t>
  </si>
  <si>
    <t xml:space="preserve"> Pije alkoolike</t>
  </si>
  <si>
    <t>Ushqime per aktivitete te organizuara nga Bashkia</t>
  </si>
  <si>
    <t>Kontrate shtese (Ushqime qe Prishen)</t>
  </si>
  <si>
    <t>Qendra Ditore Polivalente Kamez</t>
  </si>
  <si>
    <t>Blerje Kancelari</t>
  </si>
  <si>
    <t xml:space="preserve"> Toner për makinat fotokopjuese, Stilolapsa, Lapsa, Letra me shumë fije dhe kartonë</t>
  </si>
  <si>
    <t>sherbim pastrim gjelberimi</t>
  </si>
  <si>
    <t xml:space="preserve"> Fara lulesh, Plehra kafshësh apo bimore, Vazo lulesh</t>
  </si>
  <si>
    <t>Transport për të moshuarit 2020</t>
  </si>
  <si>
    <t>Rimbushje Fikese zjarri</t>
  </si>
  <si>
    <t xml:space="preserve"> Fikëse zjarri</t>
  </si>
  <si>
    <t>Ruajtje Ambienti me kamera ,sistem alarmi</t>
  </si>
  <si>
    <t xml:space="preserve"> Kamera sigurie</t>
  </si>
  <si>
    <t>Detergjent 2020</t>
  </si>
  <si>
    <t xml:space="preserve"> Sapun, Peceta letre higjenike, Peceta tavoline, Detergjentë për enë</t>
  </si>
  <si>
    <t>Mirembajte godine</t>
  </si>
  <si>
    <t>Sherbim dizifektimi 3 D</t>
  </si>
  <si>
    <t xml:space="preserve"> Insekticide, Dizinfektues</t>
  </si>
  <si>
    <t>Shtepia e te Moshuarve Tirane</t>
  </si>
  <si>
    <t xml:space="preserve"> Brisk rroje, Fshesa, furça dhe artikuj të tjerë te ndryshëm, Makinë qethëse flokësh</t>
  </si>
  <si>
    <t>Mirembajtje panele diellore</t>
  </si>
  <si>
    <t>Blerje ene Guzhine</t>
  </si>
  <si>
    <t xml:space="preserve"> Enë gatimi, Gota dhe filxhanë, Pjata të thella</t>
  </si>
  <si>
    <t>Veshje materiale te buta</t>
  </si>
  <si>
    <t>Sherbim dhe mirembajtje godine</t>
  </si>
  <si>
    <t>sherbim mirembajtje lulishte</t>
  </si>
  <si>
    <t xml:space="preserve"> Fidane, bulbe, rrënjë dhe prerje, Lule të prera, Barishte dhe erëza</t>
  </si>
  <si>
    <t>Sherbim mirembajtje ashensori</t>
  </si>
  <si>
    <t xml:space="preserve"> Ashensorë</t>
  </si>
  <si>
    <t>Sherbim mirembajtje elektroshtepiake</t>
  </si>
  <si>
    <t xml:space="preserve"> Televizor me ngjyra, Frigoriferë</t>
  </si>
  <si>
    <t>Sherbim mirembajtje faqe wbsite</t>
  </si>
  <si>
    <t>Dizinfektim  3D</t>
  </si>
  <si>
    <t xml:space="preserve"> Pesticide, Dizinfektues, Dizinfektues ajri</t>
  </si>
  <si>
    <t>Blerje medigamente</t>
  </si>
  <si>
    <t>blerje kancelari</t>
  </si>
  <si>
    <t xml:space="preserve"> Stilolapsa, Lapsa, Letër fotokopjuese, Bojra</t>
  </si>
  <si>
    <t>Sherbim mirembajtje kaldaje</t>
  </si>
  <si>
    <t xml:space="preserve"> Kaldaja me djegie</t>
  </si>
  <si>
    <t>Sherbim mirembajtje linja te emergjences dhe MKZ</t>
  </si>
  <si>
    <t xml:space="preserve"> Linja të energjisë elektrike, Fikese zjarri</t>
  </si>
  <si>
    <t>blerje detergjente</t>
  </si>
  <si>
    <t>Qendra Komunitare e Moshes se trete Palase</t>
  </si>
  <si>
    <t>Blerje Enë Kuzhine</t>
  </si>
  <si>
    <t xml:space="preserve"> Rafte, Enë gatimi, Gota dhe filxhanë, Tabaka, Kulluese pjatash, Pjata, Pjata të thella, Tigan i lëvizshem, Tabaka ushqimi, Lugë, pirunj, Thika dhe gërshërë, Thika gatimi, Kapëse, Enë me presion, Enë metalike me presion</t>
  </si>
  <si>
    <t>Blerje Detergjenësh</t>
  </si>
  <si>
    <t xml:space="preserve"> Dorashka, Sfungjer, Acid acetik, Lecke pastrimi fuser, Qese mbledhëse, Sapun, Pastrues duarsh, Letër higjienike, Larës sysh, Kova, Legenë të vegjël, Tela, Pastrues dyshemeje </t>
  </si>
  <si>
    <t>Shpenzime  per vendosje  kamera</t>
  </si>
  <si>
    <t>Mars</t>
  </si>
  <si>
    <t>Riparime  kompjuter elektrike</t>
  </si>
  <si>
    <t xml:space="preserve"> Materiale elektrike, Mirëmbajtje dhe riparim i kompjuterëve mainframe</t>
  </si>
  <si>
    <t>Analiza  mjekesore</t>
  </si>
  <si>
    <t xml:space="preserve"> Analizues gjaku, Analizues kimik</t>
  </si>
  <si>
    <t>Shpenzime te tjera te paparashikuara</t>
  </si>
  <si>
    <t xml:space="preserve"> Shërbime të tjera</t>
  </si>
  <si>
    <t>Sigurim  ndertese</t>
  </si>
  <si>
    <t xml:space="preserve"> Shërbime të sigurimit nga zjarri, Shërbime të sigurimit te pronës</t>
  </si>
  <si>
    <t>Nëntor</t>
  </si>
  <si>
    <t xml:space="preserve"> Produkte pastrimi</t>
  </si>
  <si>
    <t>Zjarrefikes</t>
  </si>
  <si>
    <t xml:space="preserve"> Zjarrfikëse</t>
  </si>
  <si>
    <t>Shkurt</t>
  </si>
  <si>
    <t>Akte  noteriale   e  procedura  noteriale</t>
  </si>
  <si>
    <t xml:space="preserve"> Sherbim per administrim te besueshmerise dhe kujdestarise</t>
  </si>
  <si>
    <t xml:space="preserve"> Fletore shënimesh, Dosje, Letër e  vazhdueshme për printera kompjuteri, Lapsa vizatimi, Lapsa me ngjyra</t>
  </si>
  <si>
    <t>Blerje  ushqime  per femije</t>
  </si>
  <si>
    <t>Qendra e Zhvillimit Pellumbat Tirane</t>
  </si>
  <si>
    <t>Materiale Pirografike</t>
  </si>
  <si>
    <t>Materiale per punime ne poceri</t>
  </si>
  <si>
    <t>Riparim Frigorifer Sobe</t>
  </si>
  <si>
    <t>Mjete Didaktike</t>
  </si>
  <si>
    <t>Sherbime te Pastrimit dhe Gjelberimit</t>
  </si>
  <si>
    <t>Sherbime te MKZ</t>
  </si>
  <si>
    <t>Prerje ambjentesh me kartonxhez</t>
  </si>
  <si>
    <t>Qepje perdesh</t>
  </si>
  <si>
    <t>Riparim Lavatrice</t>
  </si>
  <si>
    <t>Medikamente mjekesore</t>
  </si>
  <si>
    <t>Materiale per perdorim vetjak</t>
  </si>
  <si>
    <t>Pastrim Depozitash</t>
  </si>
  <si>
    <t>Kite Shkollore</t>
  </si>
  <si>
    <t>Vizite okulistike dhe paisje me syze</t>
  </si>
  <si>
    <t xml:space="preserve"> Syze</t>
  </si>
  <si>
    <t>Shpenzim heqje montim riparim kondicioneresh</t>
  </si>
  <si>
    <t>Shpenzime Transporti</t>
  </si>
  <si>
    <t xml:space="preserve"> Makina pëë transportin e pasagjerëve</t>
  </si>
  <si>
    <t>Riparim Kolltuqesh</t>
  </si>
  <si>
    <t>Ene Kuzhine</t>
  </si>
  <si>
    <t>Riparim Fotokopje Printer</t>
  </si>
  <si>
    <t>Materiale Sportive</t>
  </si>
  <si>
    <t>Riparim mjeteve te Fizioterapisë</t>
  </si>
  <si>
    <t>Blerje veshmbathje dhe materjale te buta</t>
  </si>
  <si>
    <t>Sherbime interneti dhe TV</t>
  </si>
  <si>
    <t xml:space="preserve"> Shërbime abonimi</t>
  </si>
  <si>
    <t>Lyerje  dhe meremetim i ambjenteve te institucionit</t>
  </si>
  <si>
    <t>Punë</t>
  </si>
  <si>
    <t>Riparim mirmbajtje e lavatriceve te institucionit</t>
  </si>
  <si>
    <t>Blerje nafte per kaldajen</t>
  </si>
  <si>
    <t>Blerje Panolina</t>
  </si>
  <si>
    <t>Siguracion Makine</t>
  </si>
  <si>
    <t xml:space="preserve"> Shërbime sigurimi</t>
  </si>
  <si>
    <t>Sherbim 3D</t>
  </si>
  <si>
    <t>Riparim mirmbajtje per makinen</t>
  </si>
  <si>
    <t>Blerje nafte per makinen</t>
  </si>
  <si>
    <t>Blerje Kancelari dhe tonera</t>
  </si>
  <si>
    <t xml:space="preserve"> Dosje, Toner per printer lazer /makina fax , Stilolapsa, Letër fotokopjuese</t>
  </si>
  <si>
    <t>Blerje Lodra</t>
  </si>
  <si>
    <t xml:space="preserve"> Lodra</t>
  </si>
  <si>
    <t>Blerje Tonera</t>
  </si>
  <si>
    <t xml:space="preserve"> Toner per printer lazer /makina fax </t>
  </si>
  <si>
    <t>Sherbim riparim makinash</t>
  </si>
  <si>
    <t xml:space="preserve"> Shërbime riparimi makinash</t>
  </si>
  <si>
    <t>Blerje Ushqime</t>
  </si>
  <si>
    <t xml:space="preserve"> Ushqime për spitalit</t>
  </si>
  <si>
    <t>Riparime te ndryshme hidraulike dhe elektrike</t>
  </si>
  <si>
    <t xml:space="preserve"> Elektricitet, Pajisje hidraulike</t>
  </si>
  <si>
    <t>Sigurim ndertese</t>
  </si>
  <si>
    <t xml:space="preserve"> Sherbim i agjensise se siguracionit</t>
  </si>
  <si>
    <t xml:space="preserve"> Stilolapsa, Lapsa, Fletë</t>
  </si>
  <si>
    <t>Veshje</t>
  </si>
  <si>
    <t>Gaz</t>
  </si>
  <si>
    <t>Riparim mirmbajtje ndertimore</t>
  </si>
  <si>
    <t>Sherbim Dezinfektimi</t>
  </si>
  <si>
    <t xml:space="preserve"> Shërbime dezinfektimi nga parazitët</t>
  </si>
  <si>
    <t>Pelena</t>
  </si>
  <si>
    <t xml:space="preserve"> Shërbimet e internetit</t>
  </si>
  <si>
    <t>Qendra e Zhvillimit Rezidencial Une jam si Ju Berat</t>
  </si>
  <si>
    <t>Sherbime per riparime te paisjeve elektroshtepiake</t>
  </si>
  <si>
    <t>Sherbim ushqimi katering</t>
  </si>
  <si>
    <t xml:space="preserve"> Shërbime katering</t>
  </si>
  <si>
    <t>Bashkia Berat</t>
  </si>
  <si>
    <t>Materiale elektrike idraulike</t>
  </si>
  <si>
    <t xml:space="preserve"> Bojë shkrimi, Dosje, Stilolapsa, Letër fotokopjuese dhe letër kopjative</t>
  </si>
  <si>
    <t>Medikamente Ilace mjeksore</t>
  </si>
  <si>
    <t>Qendra e Zhvillimit Ditor Trendafilat</t>
  </si>
  <si>
    <t>Mirembajtje dhe riparim te paisjeve elektronike</t>
  </si>
  <si>
    <t xml:space="preserve"> Mirëmbajtje dhe riparim i mikrokompjuterave</t>
  </si>
  <si>
    <t>Blerje vazo dhe lule te ndryshme</t>
  </si>
  <si>
    <t xml:space="preserve"> Lule të prera</t>
  </si>
  <si>
    <t>Fotokopjime me ngjyra dhe plastifikime</t>
  </si>
  <si>
    <t xml:space="preserve"> Fotokopjimi dhe pajisje shtypi ofset</t>
  </si>
  <si>
    <t>Blejre materiale pastrimi dhe higjenesanitare</t>
  </si>
  <si>
    <t xml:space="preserve"> Letër higjienike, shami, peshqir dore dhe piceta</t>
  </si>
  <si>
    <t>Lyerje dhe stokime ambientesh</t>
  </si>
  <si>
    <t xml:space="preserve"> Letër fotokopjuese dhe letër kopjative</t>
  </si>
  <si>
    <t>Sherbim me televizor kabllor</t>
  </si>
  <si>
    <t xml:space="preserve"> Kabllo dhe pajisje telekomunikacioni</t>
  </si>
  <si>
    <t>Transport te klienteve per aktivitete jashte Qendres</t>
  </si>
  <si>
    <t>Ruajtje me sisteme alarmi te ambienteve te brendshme</t>
  </si>
  <si>
    <t>Blerje artikuj ushqimor</t>
  </si>
  <si>
    <t>Qendra e Zhvillimit Ditor Korce</t>
  </si>
  <si>
    <t>Dezinfektim,deratizim brejtsish, bakteriesh,insektesh.</t>
  </si>
  <si>
    <t>Sherbimi i  sigurimit dhe ruajtjes se objektit me sistem alarmi</t>
  </si>
  <si>
    <t>Gaz per gatim dhe ngrohje</t>
  </si>
  <si>
    <t>Blerje Ushqime per femije</t>
  </si>
  <si>
    <t>Mirembajtje lyerje ndertese</t>
  </si>
  <si>
    <t>Maj</t>
  </si>
  <si>
    <t>Furnizime te ndryshme e sherbime speciale</t>
  </si>
  <si>
    <t xml:space="preserve"> Materiale të ndryshme ndërtimi me dru</t>
  </si>
  <si>
    <t>Qershor</t>
  </si>
  <si>
    <t>Shpenzime per mirembajtjen  e objekteve specifike</t>
  </si>
  <si>
    <t xml:space="preserve"> Produkte bujqësore, blegtorale, peshkimi, pylltarie dhe produkte të përafërta me to, Produkte ushqimore të ndryshme</t>
  </si>
  <si>
    <t>Sherbime te ndryshme</t>
  </si>
  <si>
    <t xml:space="preserve"> Fotografi</t>
  </si>
  <si>
    <t>Blerje materiale per ndricim</t>
  </si>
  <si>
    <t xml:space="preserve"> Pajisje ndriçimi dhe llamba elektrike</t>
  </si>
  <si>
    <t>dizifektim,deratizim bakteriesh brejtesish dhe iinsektesh</t>
  </si>
  <si>
    <t xml:space="preserve"> Antiseptikë dhe dizinfektues</t>
  </si>
  <si>
    <t>Riparim dhe shpenzim per mirembajtje e paisjeve frigorifer lavatrice</t>
  </si>
  <si>
    <t>Riparim dhe mirembajtje paisje kompjuterike</t>
  </si>
  <si>
    <t>Blerje shtypshkrime</t>
  </si>
  <si>
    <t xml:space="preserve"> Librat e llogarisë</t>
  </si>
  <si>
    <t>Te tjera materiale te zyres  e te pergjitheshme</t>
  </si>
  <si>
    <t xml:space="preserve"> Materiale të ndryshme ndërtimi</t>
  </si>
  <si>
    <t>Qendra Kombetare Pritese e Viktimave te Trafikimit</t>
  </si>
  <si>
    <t xml:space="preserve"> Toner per printer lazer /makina fax , Stilolapsa me majë të rrumbullakët, Lapsa, Lapsa vizatimi, Lapsa me ngjyra</t>
  </si>
  <si>
    <t>Sherbim riparim mirembajtje godine</t>
  </si>
  <si>
    <t xml:space="preserve"> Pjesë kompjuterash</t>
  </si>
  <si>
    <t>Materiale elektrike dhe hidraulike</t>
  </si>
  <si>
    <t>Sherbim riparim mirembajtje lulishte (ambjente te jashtme)</t>
  </si>
  <si>
    <t>Riparim mirembajtje kamerat e sigurise</t>
  </si>
  <si>
    <t>Servis Automjete</t>
  </si>
  <si>
    <t>Dezinfektim ambjentesh me 3D</t>
  </si>
  <si>
    <t>Materiale artizanale per pune okupacionale</t>
  </si>
  <si>
    <t xml:space="preserve"> Fije tekstile dhe penj</t>
  </si>
  <si>
    <t>Riparim mirembajtje sistem ngrohje</t>
  </si>
  <si>
    <t>Qendra Kombetare e Trajtimit te Viktimave te Dhunes ne Familje</t>
  </si>
  <si>
    <t>Mirembajtje i rrjetit hidraulik</t>
  </si>
  <si>
    <t xml:space="preserve"> Materiale hidraulike, Punime hidraulike</t>
  </si>
  <si>
    <t>Materiale te Buta</t>
  </si>
  <si>
    <t xml:space="preserve"> Pëlhurat perdesh, Shina perdesh</t>
  </si>
  <si>
    <t>Sherbim 3D (Dezinfektim, Deratizim,Dezinsektim)</t>
  </si>
  <si>
    <t>Blerje Detergjent dhe materiale pastrimi</t>
  </si>
  <si>
    <t>sherbime pastrim gjelberimi</t>
  </si>
  <si>
    <t xml:space="preserve"> Shërbime të mirëmbajtjes së kopshteve dekorativ dhe rekreativ</t>
  </si>
  <si>
    <t>Sherbime te tjera transporti</t>
  </si>
  <si>
    <t>sherbime per mirembajtjen e objekteve te specifike (Fikse Zjarri)</t>
  </si>
  <si>
    <t>sherbime per mirembajtjen e pajisjeve te zyres</t>
  </si>
  <si>
    <t>sherbime per mirembajtjen e objekteve ndertimore</t>
  </si>
  <si>
    <t>sherbim per mirembajtjen e kamerave</t>
  </si>
  <si>
    <t>Blerje Medikamente</t>
  </si>
  <si>
    <t>sherbime per mirembajtjen e rrjetit elektrik</t>
  </si>
  <si>
    <t xml:space="preserve"> Shërbime riparimi për sisteme elektrike</t>
  </si>
  <si>
    <t xml:space="preserve"> Dosje, Stilolapsa, Letër fotokopjuese</t>
  </si>
  <si>
    <t>Sherbime dhe riparim automjete</t>
  </si>
  <si>
    <t>sherbime dhe ripari mobiljesh</t>
  </si>
  <si>
    <t>sherbime riparimi Kondicioner,Elektroshtepiake,TV</t>
  </si>
  <si>
    <t>Blerje per veshje per femije dhe gra</t>
  </si>
  <si>
    <t xml:space="preserve"> Veshje të sipërme, Xhupa, Bluza dhe këmisha, Çorape ose trikotazhe mbrojtëse</t>
  </si>
  <si>
    <t>Qendra Kombetare Tranzitore Emergjencave Tirane</t>
  </si>
  <si>
    <t>Dizinfektim te ambjenteve te brendeshme te Qendres</t>
  </si>
  <si>
    <t xml:space="preserve"> Shërbime dezinfektimi nga minjtë</t>
  </si>
  <si>
    <t>Gusht</t>
  </si>
  <si>
    <t>Rimbushje MKZ</t>
  </si>
  <si>
    <t xml:space="preserve"> Shërbime të sigurimit nga zjarri</t>
  </si>
  <si>
    <t>Shtepia e Femijes per Grupmoshen 16-18 vjeç Shkoder</t>
  </si>
  <si>
    <t>Punime hidraulike</t>
  </si>
  <si>
    <t>Blerje veshje per femije</t>
  </si>
  <si>
    <t>Paisje/Akesore kuzhine dhe shtepie</t>
  </si>
  <si>
    <t xml:space="preserve"> Pajisje kuzhine, shtëpiake dhe të brendshme, artikuj dhe furnizime hotelieri</t>
  </si>
  <si>
    <t>Karburant, Shtepia e Femijes 16-18 Vjec</t>
  </si>
  <si>
    <t>Riparime te ambienteve te brendshme</t>
  </si>
  <si>
    <t>Blerje Aksesore Elektrike per shtepi</t>
  </si>
  <si>
    <t xml:space="preserve"> Pajisje elektrike dhe aksesorë</t>
  </si>
  <si>
    <t>Riparime Elektrike</t>
  </si>
  <si>
    <t xml:space="preserve"> Instalime elektrike</t>
  </si>
  <si>
    <t>Blerje Ilace per shtepine e Femijes</t>
  </si>
  <si>
    <t>Sherbime siguracion per automjetin</t>
  </si>
  <si>
    <t>blerje materjale elektrike</t>
  </si>
  <si>
    <t>Rimbushje te bomblave kunder zjarrit</t>
  </si>
  <si>
    <t xml:space="preserve"> Mbushje për bombola gazi zjarrfikës</t>
  </si>
  <si>
    <t>Printime</t>
  </si>
  <si>
    <t>Riparim pajisje elektroshtepiake</t>
  </si>
  <si>
    <t xml:space="preserve"> Glukozë dhe produkte glukoze; fruktozë dhe produkte fruktoze</t>
  </si>
  <si>
    <t>blerje veshje</t>
  </si>
  <si>
    <t xml:space="preserve"> Mbathje, Bluza</t>
  </si>
  <si>
    <t>Blerje materjale pastrimi</t>
  </si>
  <si>
    <t>Sherbime fotografike</t>
  </si>
  <si>
    <t>sherbime dezifektimi 3D</t>
  </si>
  <si>
    <t xml:space="preserve"> Fletore, Stilolapsa, Letër fotokopjuese</t>
  </si>
  <si>
    <t>Blerje Artikuj Ushqimorë</t>
  </si>
  <si>
    <t>Shtepia e Femijeve 6 - 14 vjec Shkoder</t>
  </si>
  <si>
    <t>sherbime te ndryshme te tjera</t>
  </si>
  <si>
    <t>Sherbime mirmbejatjeje per fikse zjarri</t>
  </si>
  <si>
    <t xml:space="preserve"> Zjarrfiksa portabël</t>
  </si>
  <si>
    <t>siguracion ndertese</t>
  </si>
  <si>
    <t>Karburant per automjet dhe ngrohje</t>
  </si>
  <si>
    <t xml:space="preserve"> Fletore, Toner per printer lazer /makina fax , Toner për makinat fotokopjuese, Stilolapsa, Lapsa, Lapsa me ngjyra</t>
  </si>
  <si>
    <t>Ushqim per femije</t>
  </si>
  <si>
    <t>Sherbim telefonie</t>
  </si>
  <si>
    <t xml:space="preserve"> Telefona publik</t>
  </si>
  <si>
    <t>Riparim dhe mirembajtje automjetesh</t>
  </si>
  <si>
    <t>Sherbim printimi, fotokopjimi dhe skanimi</t>
  </si>
  <si>
    <t>Mirembajtje kontabiliteti Alpha</t>
  </si>
  <si>
    <t xml:space="preserve"> Mirëmbajtje dhe riparim i makinerive të kontabilitetit në zyra</t>
  </si>
  <si>
    <t>Blerje libraza (paraplegji, jetimi, verberie, tetraplegji)</t>
  </si>
  <si>
    <t>Zyra Rajonale e Sherbimit Social Shteteror Berat</t>
  </si>
  <si>
    <t>Sherbime dhe Printime Lidhur</t>
  </si>
  <si>
    <t>Sherbime Pastrimi</t>
  </si>
  <si>
    <t>Printime dhe sherbime lidhur</t>
  </si>
  <si>
    <t xml:space="preserve">TOTALI </t>
  </si>
  <si>
    <t>Drejtoria Rajonale e Sherbimit Social Shteteror Diber</t>
  </si>
  <si>
    <t>Sherbim mirembajtje pajisje kompjuterike</t>
  </si>
  <si>
    <t xml:space="preserve"> Toner per printer lazer /makina fax , Stilolapsa, Lapsa, Letër fotokopjuese</t>
  </si>
  <si>
    <t>Lyrje dhe mirëmbajtje të ambienteve të zyrave</t>
  </si>
  <si>
    <t xml:space="preserve"> Shërbime lyerjeje</t>
  </si>
  <si>
    <t>Blerje dokumentacioni (libreza PAK)</t>
  </si>
  <si>
    <t xml:space="preserve"> Fshesa, furça dhe artikuj të tjerë te ndryshëm, Fshesa</t>
  </si>
  <si>
    <t>TOTALi</t>
  </si>
  <si>
    <t>Zyra Rajonale e Sherbimit Social Shteteror Durres</t>
  </si>
  <si>
    <t>SHERBIMI I PASTRIMIT</t>
  </si>
  <si>
    <t>KANCELARI</t>
  </si>
  <si>
    <t>Zyra Rajonale e Sherbimit Social Shteteror Elbasan</t>
  </si>
  <si>
    <t>Trajnime dhe Seminare</t>
  </si>
  <si>
    <t xml:space="preserve"> Shërbime trajnimi</t>
  </si>
  <si>
    <t>Mirembajtja e aparateve fotokopjuese (Printer)</t>
  </si>
  <si>
    <t xml:space="preserve"> Mirëmbajtje dhe riparim i makinerive në zyra</t>
  </si>
  <si>
    <t>Blerje Dokumentacioni</t>
  </si>
  <si>
    <t>Riparim i pajisjeve elektronike e kompjuterike</t>
  </si>
  <si>
    <t>Shërbim Printimi për nevojat e institucionit Drejtoria Rajonale e Shërbimit Social Shtetëror Fier</t>
  </si>
  <si>
    <t>DRSHSSH FIER</t>
  </si>
  <si>
    <t>Shërbim pastrim Zyrash për nevojat e Drejtorisë Rajonale të Shërbimit Social Shtetëror Fier</t>
  </si>
  <si>
    <t xml:space="preserve"> Shërbime pastrimi për pajisje zyre, shkolle dhe zyra</t>
  </si>
  <si>
    <t>Trajnime në zbatim të legjislacionit për nevojat e Drejtorisë Rajonale të Shërbimit Social Shtetëror Fier</t>
  </si>
  <si>
    <t xml:space="preserve"> Seminare trajnimi</t>
  </si>
  <si>
    <t>Blerje Kancelari për nevojat e Drejtorisë Rajonale të Shërbimit Social Shtetërorë Fier.</t>
  </si>
  <si>
    <t xml:space="preserve"> Bojë indie, Bllok shënimesh, Bllok me letra shënimesh me ngjitëse, Dosje, Tampone boje, Stilolapsa, Korrektues, Stilolapsa korrigjimi, Letër e  vazhdueshme për printera kompjuteri</t>
  </si>
  <si>
    <t>Blerje detergjentësh dhe materiale pastrimi për nevojat e Drejtorisë Rajonale të Shërbimit Social Shtetëror Fier.</t>
  </si>
  <si>
    <t xml:space="preserve"> Lecke pastrimi fuser, Fshesa, Kova, Detergjentë</t>
  </si>
  <si>
    <t>Shërbim dhe mirëmbajtje të kompjuterave për Drejtorin Rajonale të Shërbimit Social Shtetëror Fier</t>
  </si>
  <si>
    <t xml:space="preserve"> Mirëmbajtje dhe riparim i njësive periferike të kompjuterave</t>
  </si>
  <si>
    <t>Zyra Rajonale e Sherbimit Social Shteteror Gjirokaster</t>
  </si>
  <si>
    <t>Blerje materiale pastrimi per nevojat e Instuitucionit</t>
  </si>
  <si>
    <t xml:space="preserve"> Klor, Acid acetik, Pastrues duarsh, Letër higjienike, shami, peshqir dore dhe piceta, Fshesa</t>
  </si>
  <si>
    <t>Blerje materiale kancelarie dhe bojra printeri</t>
  </si>
  <si>
    <t xml:space="preserve"> Bojë shkrimi, Stilolapsa, Lapsa, Lidhëse me unaza dhe kapëse letrash, Mbajtës për kapese letrash, Letër fotokopjuese, Zarfa, Disqe, Blloqe</t>
  </si>
  <si>
    <t>Sherbime te tjera per nevojat e Institucionit</t>
  </si>
  <si>
    <t>Zyra Rajonale e Sherbimit Social Shteteror Korce</t>
  </si>
  <si>
    <t>Mimbajtje paisjeve të zyrës</t>
  </si>
  <si>
    <t xml:space="preserve"> Lapsa, Letër printimi</t>
  </si>
  <si>
    <t>Toner</t>
  </si>
  <si>
    <t>Dru zjarri</t>
  </si>
  <si>
    <t xml:space="preserve"> Regjistra prej letre ose kartoni, Dosje</t>
  </si>
  <si>
    <t>Mirëmbajtje dhe riparim objekti</t>
  </si>
  <si>
    <t>Zyra Rajonale e Sherbimit Social Shteteror Kukes</t>
  </si>
  <si>
    <t>Blerje Materiale pastrimi dhe sherbim pastrimi zyre</t>
  </si>
  <si>
    <t>Mirembajtje pajisje kompjuterike</t>
  </si>
  <si>
    <t>Zyra Rajonale e Sherbimit Social Shteteror Lezhe</t>
  </si>
  <si>
    <t>Sherbime printimi dhe fotokopje</t>
  </si>
  <si>
    <t xml:space="preserve"> Stilografe, Stilolapsa, Lapsa, Letër fotokopjuese</t>
  </si>
  <si>
    <t>Zyra Rajonale e Sherbimit Social Shteteror Shkoder</t>
  </si>
  <si>
    <t>sherbime te ndryshme</t>
  </si>
  <si>
    <t xml:space="preserve"> Shërbime të ndryshme për riparim dhe mirëmbajtje</t>
  </si>
  <si>
    <t>Furnizime me materjale te ndryshme</t>
  </si>
  <si>
    <t>Riparime elektronike</t>
  </si>
  <si>
    <t xml:space="preserve"> Mirëmbajtje e pajisjeve të teknologjisë së informacionit</t>
  </si>
  <si>
    <t>Zyra Rajonale e Sherbimit Social Shteteror  Vlore</t>
  </si>
  <si>
    <t>Blerje Detergjentësh</t>
  </si>
  <si>
    <t xml:space="preserve"> Dorashka, Acid sulfurik, Klor, Lecke pastrimi fuser, Qese mbledhëse, Sapun, Letër higjienike, Sfungjerë, Pastrues dyshemeje </t>
  </si>
  <si>
    <t>Lyerje Zyrash</t>
  </si>
  <si>
    <t>Riparim Automjeti</t>
  </si>
  <si>
    <t xml:space="preserve"> Vajra karburanti, Pjesë dhe pajisje për automjetet dhe motorët e tyre</t>
  </si>
  <si>
    <t>Blerje Karburanti</t>
  </si>
  <si>
    <t xml:space="preserve"> Qese poste, Fletore shënimesh, Fletore, Toner per printer lazer /makina fax , Toner për makinat fotokopjuese, Stilolapsa, Lapsa, Stilolapsa korrigjimi, Kapese letrash, Letër fotokopjuese, Zarfa</t>
  </si>
  <si>
    <t>Blerje Libreza për Personat me Aftësi të Kufizuar</t>
  </si>
  <si>
    <t>Zyra Rajonale e Sherbimit Social Shteteror Tirane</t>
  </si>
  <si>
    <t>Printime dhe sherbime te lidhura</t>
  </si>
  <si>
    <t>Agjencia Shteterore per te Drejtat dheMbrojtjen e Femijes</t>
  </si>
  <si>
    <t>Materiale per funksionimin e pajisjeve te zyrave</t>
  </si>
  <si>
    <t>Publikimi i Raportit Vjetor te Agjencise</t>
  </si>
  <si>
    <t xml:space="preserve"> Publikime</t>
  </si>
  <si>
    <t>Pjese kembimi goma, bateri</t>
  </si>
  <si>
    <t xml:space="preserve"> Goma për automjete të lehta</t>
  </si>
  <si>
    <t>Nentor</t>
  </si>
  <si>
    <t>Sherbime pastrimi</t>
  </si>
  <si>
    <t xml:space="preserve"> Pastrim i pjesëve të jashtëme të ndërtesave</t>
  </si>
  <si>
    <t>Materiale per Pastrim</t>
  </si>
  <si>
    <t>Udhetim i Jashtem, Bileta udhetimi</t>
  </si>
  <si>
    <t>Sistem Dinamik</t>
  </si>
  <si>
    <t>Sherbime per mirembajtjen e mjeteve te transportit</t>
  </si>
  <si>
    <t xml:space="preserve"> Shërbime për riparimin dhe mirëmbajtjen e automjeteve ushtarake</t>
  </si>
  <si>
    <t>Mirembajtje e pajisjeve te zyrave</t>
  </si>
  <si>
    <t>Llogaria</t>
  </si>
  <si>
    <t xml:space="preserve">Pagat </t>
  </si>
  <si>
    <t>Sigurimet</t>
  </si>
  <si>
    <t>Shpenzimet operatrive</t>
  </si>
  <si>
    <t>Bonus Bebe</t>
  </si>
  <si>
    <t>Fondi vecante</t>
  </si>
  <si>
    <t>Plan</t>
  </si>
  <si>
    <t>Realizim</t>
  </si>
  <si>
    <t>Objekti Kontrates</t>
  </si>
  <si>
    <t>Operatori Kontraktues</t>
  </si>
  <si>
    <t>Vlera Kontrates</t>
  </si>
  <si>
    <t>Vlera e realizimit te kontrates</t>
  </si>
  <si>
    <t>Sherbim Telefonie</t>
  </si>
  <si>
    <t>Vodafone</t>
  </si>
  <si>
    <t>Sherbim Printim Fotokopjim Skanim</t>
  </si>
  <si>
    <t>Kallfa</t>
  </si>
  <si>
    <t>Karburant (Nafte)</t>
  </si>
  <si>
    <t>Kastrati</t>
  </si>
  <si>
    <t>Karburant (Benzine)</t>
  </si>
  <si>
    <t>Blerje kuti dhe dosje per arkiven</t>
  </si>
  <si>
    <t>Kristalina KH</t>
  </si>
  <si>
    <t>Sherbim me Roje civile</t>
  </si>
  <si>
    <t>SHPSF SNAJPER SECURITY</t>
  </si>
  <si>
    <t>Ilyrian Guard</t>
  </si>
  <si>
    <t>Sherbim Larje Automjeti</t>
  </si>
  <si>
    <t>P/F Englis Rexhmati</t>
  </si>
  <si>
    <t xml:space="preserve">                            -     </t>
  </si>
  <si>
    <t xml:space="preserve">Rehabilitim I Zyres Rajonale te Sherbimit Social Durres </t>
  </si>
  <si>
    <t xml:space="preserve">2 Z Konstruksion </t>
  </si>
  <si>
    <t xml:space="preserve">Kontratat </t>
  </si>
  <si>
    <t>Shërbimi Social Shtetëror 2022</t>
  </si>
  <si>
    <t xml:space="preserve">Sherbimi per femijet e pashoqeruar </t>
  </si>
  <si>
    <t>Nderrmarjet sociale</t>
  </si>
  <si>
    <t>Fondi Social</t>
  </si>
  <si>
    <t>Vendime Gjyqesore</t>
  </si>
  <si>
    <t>Kontratat SHSSH 2022</t>
  </si>
  <si>
    <t>Objekti I Kontrates</t>
  </si>
  <si>
    <t>Vlera e Realizimit</t>
  </si>
  <si>
    <t>Blerje kancelari leter</t>
  </si>
  <si>
    <t>InfoSoft Office</t>
  </si>
  <si>
    <t>Blerje karta per personelin</t>
  </si>
  <si>
    <t>ELEKTROSEK</t>
  </si>
  <si>
    <t>Blerje libreza (paraplegji, jetimi, verberie, tertraplegji)</t>
  </si>
  <si>
    <t>Dhimitraq Kosta</t>
  </si>
  <si>
    <t>Blerje te sistemit dinamik bileta te transportit ajror nderkombetar</t>
  </si>
  <si>
    <t>Top Seven</t>
  </si>
  <si>
    <t>Explorer Travel&amp;Tours</t>
  </si>
  <si>
    <t>Lyerje ambjenti</t>
  </si>
  <si>
    <t>Eduart Metaj</t>
  </si>
  <si>
    <t>Malvina Visoka</t>
  </si>
  <si>
    <t>Instituti I Modelimeve ne Biznes</t>
  </si>
  <si>
    <t>Riparim automjeti</t>
  </si>
  <si>
    <t>Besnik Meci</t>
  </si>
  <si>
    <t>Riparim kondicioneresh</t>
  </si>
  <si>
    <t>NITO</t>
  </si>
  <si>
    <t>Sherbim printim fotokopjim dhe skanim</t>
  </si>
  <si>
    <t>Sherbim Roje Civile</t>
  </si>
  <si>
    <t>Plani VJETOR 2023</t>
  </si>
  <si>
    <t>Shtëp.Moshuarve Tiranë</t>
  </si>
  <si>
    <t>Shtëp.Moshuarve Gjirokastër</t>
  </si>
  <si>
    <t>Shtëp.Moshuarve Fier</t>
  </si>
  <si>
    <t>Shtëp.Moshuarve Kavajë</t>
  </si>
  <si>
    <t>Shtëp.Moshuarve Shkodër</t>
  </si>
  <si>
    <t>Qendra Polivalente Poliçan</t>
  </si>
  <si>
    <t xml:space="preserve">Qendra Komunitare  Palasë </t>
  </si>
  <si>
    <t>Qendra Polivalente Sarandë</t>
  </si>
  <si>
    <t>Shtëp. Foshnjës Tiranë</t>
  </si>
  <si>
    <t>Shtëp. Foshnjës Korçë</t>
  </si>
  <si>
    <t>Shtëp. Foshnjës Shkodër</t>
  </si>
  <si>
    <t>Shtëp. Foshnjës Durrës</t>
  </si>
  <si>
    <t>Shtëp. Foshnjës Vlorë</t>
  </si>
  <si>
    <t>Qend. Zhvillimit Tiranë</t>
  </si>
  <si>
    <t>Qend. Zhvillimit Durrës</t>
  </si>
  <si>
    <t>Qend. Zhvillimit Korçë</t>
  </si>
  <si>
    <t>Qend. Zhvillimit Shkodër</t>
  </si>
  <si>
    <t>Qend. Zhvillimit Vlorë</t>
  </si>
  <si>
    <t>Qend. Zhvillim Ditor Lezhë</t>
  </si>
  <si>
    <t>Qend. Zhvillim Ditor Korçë</t>
  </si>
  <si>
    <t>Qen. Pritëse Viktim. Linzë</t>
  </si>
  <si>
    <t>Qendra Kombëtare dhunës Familje</t>
  </si>
  <si>
    <t>Qendra Kombëtare e Emergjencës</t>
  </si>
  <si>
    <t>Shtëp.Fëm.Shkoll. Shkodër</t>
  </si>
  <si>
    <t>Shtëp.Fëm.Shkoll. Tiranë</t>
  </si>
  <si>
    <t>Shtëp.Fëm.Shkoll. Sarandë</t>
  </si>
  <si>
    <t>Zyra Rajonale e Kujd.Social Dibër</t>
  </si>
  <si>
    <t>Zyra Rajonale e Kujd.Social Durrës</t>
  </si>
  <si>
    <t>Zyra Rajon.Kujd.Soc. Gjirokastër</t>
  </si>
  <si>
    <t>Zyra Rajonale Kujd.Social Korçë</t>
  </si>
  <si>
    <t>Zyra Rajonale Kujd.Social Kukës</t>
  </si>
  <si>
    <t>Zyra Rajonale Kujd.Social Lezhë</t>
  </si>
  <si>
    <t>Zyra Rajon. Kujd.Social Shkodër</t>
  </si>
  <si>
    <t>Zyra Rajonale Kujd.Social Vlorë</t>
  </si>
  <si>
    <t>Zyra Rajonale Kujd.Social Tiranë</t>
  </si>
  <si>
    <t xml:space="preserve">Gra kryefamiljare qe paguhen sig shoqerore </t>
  </si>
  <si>
    <t>Buxheti  SHSSH</t>
  </si>
  <si>
    <t>Paga+Sigurime</t>
  </si>
  <si>
    <t xml:space="preserve">Total </t>
  </si>
  <si>
    <t>Realizimi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</si>
</sst>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
    <numFmt numFmtId="165" formatCode="#,##0.0"/>
    <numFmt numFmtId="166" formatCode="#,##0.000"/>
    <numFmt numFmtId="167" formatCode="_(* #,##0_);_(* \(#,##0\);_(* &quot;-&quot;??_);_(@_)"/>
    <numFmt numFmtId="168" formatCode="_-* #,##0_-;\-* #,##0_-;_-* &quot;-&quot;??_-;_-@_-"/>
    <numFmt numFmtId="169" formatCode="_-* #,##0.0000_-;\-* #,##0.0000_-;_-* &quot;-&quot;??_-;_-@_-"/>
    <numFmt numFmtId="170" formatCode="_-* #,##0.0_-;\-* #,##0.0_-;_-* &quot;-&quot;??_-;_-@_-"/>
    <numFmt numFmtId="171" formatCode="_-* #,##0_L_e_k_ë_-;\-* #,##0_L_e_k_ë_-;_-* &quot;-&quot;??_L_e_k_ë_-;_-@_-"/>
  </numFmts>
  <fonts count="231">
    <font>
      <sz val="10"/>
      <name val="Arial"/>
    </font>
    <font>
      <sz val="10"/>
      <name val="Arial"/>
    </font>
    <font>
      <b/>
      <sz val="8"/>
      <name val="Arial"/>
      <family val="2"/>
    </font>
    <font>
      <b/>
      <sz val="10"/>
      <name val="Arial"/>
      <family val="2"/>
    </font>
    <font>
      <b/>
      <i/>
      <sz val="10"/>
      <name val="Arial"/>
      <family val="2"/>
    </font>
    <font>
      <sz val="8"/>
      <name val="Arial"/>
      <family val="2"/>
    </font>
    <font>
      <b/>
      <sz val="10"/>
      <name val="Times New Roman"/>
      <family val="1"/>
    </font>
    <font>
      <sz val="10"/>
      <name val="Times New Roman"/>
      <family val="1"/>
    </font>
    <font>
      <b/>
      <i/>
      <sz val="10"/>
      <name val="Times New Roman"/>
      <family val="1"/>
    </font>
    <font>
      <b/>
      <sz val="9"/>
      <name val="Times New Roman"/>
      <family val="1"/>
    </font>
    <font>
      <b/>
      <sz val="8"/>
      <name val="Times New Roman"/>
      <family val="1"/>
    </font>
    <font>
      <sz val="9"/>
      <name val="Times New Roman"/>
      <family val="1"/>
    </font>
    <font>
      <sz val="8"/>
      <name val="Times New Roman"/>
      <family val="1"/>
    </font>
    <font>
      <i/>
      <sz val="10"/>
      <name val="Times New Roman"/>
      <family val="1"/>
    </font>
    <font>
      <b/>
      <u/>
      <sz val="10"/>
      <name val="Times New Roman"/>
      <family val="1"/>
    </font>
    <font>
      <b/>
      <i/>
      <u/>
      <sz val="11"/>
      <name val="Times New Roman"/>
      <family val="1"/>
    </font>
    <font>
      <b/>
      <sz val="10"/>
      <name val="Arial"/>
      <family val="2"/>
    </font>
    <font>
      <b/>
      <i/>
      <sz val="11"/>
      <name val="Times New Roman"/>
      <family val="1"/>
    </font>
    <font>
      <sz val="20"/>
      <name val="Arial"/>
      <family val="2"/>
    </font>
    <font>
      <b/>
      <sz val="8"/>
      <name val="Arial"/>
      <family val="2"/>
    </font>
    <font>
      <b/>
      <i/>
      <sz val="12"/>
      <name val="Arial"/>
      <family val="2"/>
    </font>
    <font>
      <b/>
      <sz val="14"/>
      <name val="Arial"/>
      <family val="2"/>
    </font>
    <font>
      <b/>
      <sz val="16"/>
      <name val="Arial"/>
      <family val="2"/>
    </font>
    <font>
      <sz val="8"/>
      <name val="Arial"/>
      <family val="2"/>
    </font>
    <font>
      <b/>
      <i/>
      <sz val="8"/>
      <name val="Arial"/>
      <family val="2"/>
    </font>
    <font>
      <sz val="8"/>
      <color indexed="81"/>
      <name val="Tahoma"/>
      <family val="2"/>
    </font>
    <font>
      <b/>
      <sz val="8"/>
      <color indexed="81"/>
      <name val="Tahoma"/>
      <family val="2"/>
    </font>
    <font>
      <sz val="10"/>
      <color indexed="10"/>
      <name val="Arial"/>
      <family val="2"/>
    </font>
    <font>
      <sz val="10"/>
      <name val="Arial"/>
      <family val="2"/>
    </font>
    <font>
      <sz val="16"/>
      <name val="Arial"/>
      <family val="2"/>
    </font>
    <font>
      <b/>
      <sz val="16"/>
      <name val="Arial"/>
      <family val="2"/>
    </font>
    <font>
      <sz val="14"/>
      <name val="Arial"/>
      <family val="2"/>
    </font>
    <font>
      <b/>
      <sz val="14"/>
      <name val="Arial"/>
      <family val="2"/>
    </font>
    <font>
      <sz val="12"/>
      <name val="Arial"/>
      <family val="2"/>
    </font>
    <font>
      <b/>
      <sz val="12"/>
      <name val="Arial"/>
      <family val="2"/>
    </font>
    <font>
      <b/>
      <sz val="12"/>
      <name val="Arial"/>
      <family val="2"/>
    </font>
    <font>
      <b/>
      <sz val="12"/>
      <color indexed="10"/>
      <name val="Arial"/>
      <family val="2"/>
    </font>
    <font>
      <sz val="12"/>
      <name val="Arial"/>
      <family val="2"/>
    </font>
    <font>
      <b/>
      <sz val="11"/>
      <name val="Times New Roman"/>
      <family val="1"/>
    </font>
    <font>
      <sz val="8.5"/>
      <name val="Arial"/>
      <family val="2"/>
    </font>
    <font>
      <b/>
      <sz val="11"/>
      <name val="Arial"/>
      <family val="2"/>
    </font>
    <font>
      <b/>
      <sz val="8.5"/>
      <name val="Arial"/>
      <family val="2"/>
    </font>
    <font>
      <b/>
      <sz val="8.5"/>
      <name val="Arial"/>
      <family val="2"/>
    </font>
    <font>
      <b/>
      <sz val="8.5"/>
      <name val="Times New Roman"/>
      <family val="1"/>
    </font>
    <font>
      <b/>
      <sz val="9"/>
      <name val="Arial"/>
      <family val="2"/>
    </font>
    <font>
      <b/>
      <sz val="10"/>
      <color indexed="8"/>
      <name val="Arial"/>
      <family val="2"/>
    </font>
    <font>
      <i/>
      <sz val="10"/>
      <color indexed="8"/>
      <name val="Arial"/>
      <family val="2"/>
    </font>
    <font>
      <b/>
      <i/>
      <sz val="10"/>
      <color indexed="8"/>
      <name val="Arial"/>
      <family val="2"/>
    </font>
    <font>
      <sz val="10"/>
      <color indexed="8"/>
      <name val="Arial"/>
      <family val="2"/>
    </font>
    <font>
      <b/>
      <sz val="8"/>
      <name val="Times New Roman CE"/>
    </font>
    <font>
      <sz val="10"/>
      <color indexed="8"/>
      <name val="Arial"/>
      <family val="2"/>
    </font>
    <font>
      <sz val="8"/>
      <name val="Times New Roman CE"/>
    </font>
    <font>
      <sz val="8"/>
      <name val="Times New Roman CE"/>
      <charset val="238"/>
    </font>
    <font>
      <sz val="11"/>
      <name val="Times New Roman CE"/>
      <charset val="238"/>
    </font>
    <font>
      <b/>
      <sz val="12"/>
      <name val="Times New Roman"/>
      <family val="1"/>
    </font>
    <font>
      <sz val="9"/>
      <color indexed="8"/>
      <name val="Arial"/>
      <family val="2"/>
    </font>
    <font>
      <sz val="10"/>
      <name val="Times New Roman CE"/>
      <charset val="238"/>
    </font>
    <font>
      <sz val="10"/>
      <color indexed="58"/>
      <name val="Arial"/>
      <family val="2"/>
    </font>
    <font>
      <i/>
      <sz val="10"/>
      <name val="Arial"/>
      <family val="2"/>
    </font>
    <font>
      <b/>
      <sz val="10"/>
      <color indexed="58"/>
      <name val="Arial"/>
      <family val="2"/>
    </font>
    <font>
      <sz val="12"/>
      <color indexed="10"/>
      <name val="Arial"/>
      <family val="2"/>
    </font>
    <font>
      <b/>
      <sz val="16"/>
      <color indexed="10"/>
      <name val="Arial"/>
      <family val="2"/>
    </font>
    <font>
      <b/>
      <sz val="12"/>
      <color indexed="10"/>
      <name val="Arial"/>
      <family val="2"/>
    </font>
    <font>
      <b/>
      <sz val="8"/>
      <color indexed="8"/>
      <name val="Arial"/>
      <family val="2"/>
    </font>
    <font>
      <i/>
      <sz val="8"/>
      <color indexed="8"/>
      <name val="Arial"/>
      <family val="2"/>
    </font>
    <font>
      <b/>
      <i/>
      <sz val="8"/>
      <color indexed="8"/>
      <name val="Arial"/>
      <family val="2"/>
    </font>
    <font>
      <sz val="8"/>
      <color indexed="8"/>
      <name val="Arial"/>
      <family val="2"/>
    </font>
    <font>
      <b/>
      <sz val="10"/>
      <color indexed="10"/>
      <name val="Arial"/>
      <family val="2"/>
    </font>
    <font>
      <b/>
      <sz val="7"/>
      <name val="Arial"/>
      <family val="2"/>
    </font>
    <font>
      <b/>
      <sz val="10"/>
      <color indexed="8"/>
      <name val="Arial"/>
      <family val="2"/>
    </font>
    <font>
      <sz val="12"/>
      <color indexed="58"/>
      <name val="Arial"/>
      <family val="2"/>
    </font>
    <font>
      <b/>
      <sz val="12"/>
      <color indexed="58"/>
      <name val="Arial"/>
      <family val="2"/>
    </font>
    <font>
      <sz val="11"/>
      <color indexed="10"/>
      <name val="Arial"/>
      <family val="2"/>
    </font>
    <font>
      <sz val="11"/>
      <color indexed="58"/>
      <name val="Arial"/>
      <family val="2"/>
    </font>
    <font>
      <sz val="12"/>
      <color indexed="18"/>
      <name val="Arial"/>
      <family val="2"/>
    </font>
    <font>
      <b/>
      <sz val="9"/>
      <name val="Arial"/>
      <family val="2"/>
    </font>
    <font>
      <sz val="7"/>
      <name val="Arial"/>
      <family val="2"/>
    </font>
    <font>
      <u/>
      <sz val="10"/>
      <name val="Arial"/>
      <family val="2"/>
    </font>
    <font>
      <b/>
      <sz val="10"/>
      <color indexed="10"/>
      <name val="Arial"/>
      <family val="2"/>
    </font>
    <font>
      <sz val="10"/>
      <color indexed="10"/>
      <name val="Arial"/>
      <family val="2"/>
    </font>
    <font>
      <i/>
      <sz val="10"/>
      <color indexed="10"/>
      <name val="Arial"/>
      <family val="2"/>
    </font>
    <font>
      <sz val="10"/>
      <color indexed="8"/>
      <name val="Arial"/>
      <family val="2"/>
    </font>
    <font>
      <b/>
      <u/>
      <sz val="14"/>
      <name val="Arial Narrow"/>
      <family val="2"/>
    </font>
    <font>
      <u/>
      <sz val="12"/>
      <name val="Arial"/>
      <family val="2"/>
    </font>
    <font>
      <sz val="11"/>
      <name val="Arial"/>
      <family val="2"/>
    </font>
    <font>
      <sz val="6"/>
      <name val="Times New Roman CE"/>
    </font>
    <font>
      <sz val="8"/>
      <color indexed="10"/>
      <name val="Times New Roman"/>
      <family val="1"/>
    </font>
    <font>
      <sz val="8"/>
      <color indexed="10"/>
      <name val="Times New Roman CE"/>
    </font>
    <font>
      <sz val="9"/>
      <name val="Arial"/>
      <family val="2"/>
    </font>
    <font>
      <sz val="6"/>
      <color indexed="10"/>
      <name val="Times New Roman CE"/>
    </font>
    <font>
      <u/>
      <sz val="11"/>
      <name val="Arial"/>
      <family val="2"/>
    </font>
    <font>
      <sz val="10"/>
      <color indexed="10"/>
      <name val="Times New Roman CE"/>
    </font>
    <font>
      <sz val="10"/>
      <name val="Times New Roman CE"/>
    </font>
    <font>
      <b/>
      <sz val="7"/>
      <name val="Times New Roman"/>
      <family val="1"/>
    </font>
    <font>
      <b/>
      <sz val="10"/>
      <color indexed="8"/>
      <name val="Times New Roman"/>
      <family val="1"/>
    </font>
    <font>
      <b/>
      <sz val="10"/>
      <color indexed="10"/>
      <name val="Times New Roman"/>
      <family val="1"/>
    </font>
    <font>
      <i/>
      <sz val="10"/>
      <color indexed="8"/>
      <name val="Times New Roman"/>
      <family val="1"/>
    </font>
    <font>
      <sz val="10"/>
      <color indexed="10"/>
      <name val="Times New Roman"/>
      <family val="1"/>
    </font>
    <font>
      <sz val="10"/>
      <color indexed="8"/>
      <name val="Times New Roman"/>
      <family val="1"/>
    </font>
    <font>
      <b/>
      <i/>
      <sz val="10"/>
      <color indexed="8"/>
      <name val="Times New Roman"/>
      <family val="1"/>
    </font>
    <font>
      <b/>
      <sz val="10"/>
      <color indexed="58"/>
      <name val="Times New Roman"/>
      <family val="1"/>
    </font>
    <font>
      <sz val="6"/>
      <name val="Times New Roman"/>
      <family val="1"/>
    </font>
    <font>
      <sz val="6"/>
      <color indexed="10"/>
      <name val="Times New Roman"/>
      <family val="1"/>
    </font>
    <font>
      <sz val="7"/>
      <name val="Times New Roman"/>
      <family val="1"/>
    </font>
    <font>
      <sz val="11"/>
      <name val="Times New Roman"/>
      <family val="1"/>
    </font>
    <font>
      <u/>
      <sz val="10"/>
      <name val="Times New Roman"/>
      <family val="1"/>
    </font>
    <font>
      <u/>
      <sz val="16"/>
      <name val="Arial"/>
      <family val="2"/>
    </font>
    <font>
      <sz val="11"/>
      <color theme="1"/>
      <name val="Calibri"/>
      <family val="2"/>
      <scheme val="minor"/>
    </font>
    <font>
      <b/>
      <sz val="11"/>
      <color theme="1"/>
      <name val="Calibri"/>
      <family val="2"/>
      <scheme val="minor"/>
    </font>
    <font>
      <sz val="11"/>
      <color rgb="FFFF0000"/>
      <name val="Calibri"/>
      <family val="2"/>
      <scheme val="minor"/>
    </font>
    <font>
      <sz val="10"/>
      <color rgb="FFFF0000"/>
      <name val="Arial"/>
      <family val="2"/>
    </font>
    <font>
      <b/>
      <i/>
      <sz val="10"/>
      <color rgb="FFFF0000"/>
      <name val="Arial"/>
      <family val="2"/>
    </font>
    <font>
      <b/>
      <sz val="10"/>
      <color rgb="FFFF0000"/>
      <name val="Arial"/>
      <family val="2"/>
    </font>
    <font>
      <b/>
      <sz val="8"/>
      <color rgb="FFFF0000"/>
      <name val="Times New Roman CE"/>
    </font>
    <font>
      <sz val="8"/>
      <color rgb="FFFF0000"/>
      <name val="Times New Roman CE"/>
    </font>
    <font>
      <sz val="12"/>
      <color rgb="FFFF0000"/>
      <name val="Arial"/>
      <family val="2"/>
    </font>
    <font>
      <b/>
      <sz val="10"/>
      <color rgb="FFFF0000"/>
      <name val="Times New Roman"/>
      <family val="1"/>
    </font>
    <font>
      <sz val="10"/>
      <color rgb="FFFF0000"/>
      <name val="Times New Roman"/>
      <family val="1"/>
    </font>
    <font>
      <b/>
      <sz val="8"/>
      <color rgb="FFFF0000"/>
      <name val="Times New Roman"/>
      <family val="1"/>
    </font>
    <font>
      <sz val="8"/>
      <color rgb="FFFF0000"/>
      <name val="Times New Roman"/>
      <family val="1"/>
    </font>
    <font>
      <b/>
      <sz val="12"/>
      <color rgb="FFFF0000"/>
      <name val="Arial"/>
      <family val="2"/>
    </font>
    <font>
      <sz val="10"/>
      <color theme="1"/>
      <name val="Arial"/>
      <family val="2"/>
    </font>
    <font>
      <b/>
      <sz val="14"/>
      <name val="Times New Roman"/>
      <family val="1"/>
    </font>
    <font>
      <b/>
      <sz val="14"/>
      <name val="Calibri"/>
      <family val="2"/>
      <scheme val="minor"/>
    </font>
    <font>
      <b/>
      <sz val="11"/>
      <name val="Calibri"/>
      <family val="2"/>
      <scheme val="minor"/>
    </font>
    <font>
      <sz val="11"/>
      <name val="Calibri"/>
      <family val="2"/>
      <scheme val="minor"/>
    </font>
    <font>
      <b/>
      <sz val="12"/>
      <color theme="1"/>
      <name val="Times New Roman"/>
      <family val="1"/>
    </font>
    <font>
      <sz val="10"/>
      <color theme="1"/>
      <name val="Times New Roman"/>
      <family val="1"/>
    </font>
    <font>
      <sz val="9"/>
      <color theme="1"/>
      <name val="Times New Roman"/>
      <family val="1"/>
    </font>
    <font>
      <b/>
      <sz val="13"/>
      <color theme="1"/>
      <name val="Times New Roman"/>
      <family val="1"/>
    </font>
    <font>
      <b/>
      <sz val="13"/>
      <name val="Times New Roman"/>
      <family val="1"/>
    </font>
    <font>
      <sz val="13"/>
      <color theme="1"/>
      <name val="Times New Roman"/>
      <family val="1"/>
    </font>
    <font>
      <sz val="12"/>
      <name val="Times New Roman"/>
      <family val="1"/>
    </font>
    <font>
      <b/>
      <sz val="11"/>
      <color rgb="FFFF0000"/>
      <name val="Calibri"/>
      <family val="2"/>
      <scheme val="minor"/>
    </font>
    <font>
      <b/>
      <sz val="11"/>
      <color theme="1"/>
      <name val="Times New Roman"/>
      <family val="1"/>
    </font>
    <font>
      <b/>
      <sz val="12"/>
      <name val="Calibri"/>
      <family val="2"/>
      <scheme val="minor"/>
    </font>
    <font>
      <sz val="18"/>
      <color theme="1"/>
      <name val="Arial"/>
      <family val="2"/>
    </font>
    <font>
      <sz val="11"/>
      <color theme="1"/>
      <name val="Arial"/>
      <family val="2"/>
    </font>
    <font>
      <sz val="11"/>
      <color rgb="FFFF0000"/>
      <name val="Arial"/>
      <family val="2"/>
    </font>
    <font>
      <b/>
      <sz val="11"/>
      <color theme="1"/>
      <name val="Arial"/>
      <family val="2"/>
    </font>
    <font>
      <u/>
      <sz val="11"/>
      <color theme="1"/>
      <name val="Arial"/>
      <family val="2"/>
    </font>
    <font>
      <sz val="11"/>
      <name val="Calibri"/>
      <family val="2"/>
    </font>
    <font>
      <b/>
      <sz val="10"/>
      <color rgb="FFFFFFFF"/>
      <name val="Arial"/>
      <family val="2"/>
    </font>
    <font>
      <sz val="10"/>
      <color rgb="FF000000"/>
      <name val="Arial"/>
      <family val="2"/>
    </font>
    <font>
      <sz val="12"/>
      <color theme="1"/>
      <name val="Arial"/>
      <family val="2"/>
    </font>
    <font>
      <sz val="11"/>
      <color theme="0"/>
      <name val="Calibri"/>
      <family val="2"/>
    </font>
    <font>
      <b/>
      <sz val="10"/>
      <color theme="0"/>
      <name val="Arial"/>
      <family val="2"/>
    </font>
    <font>
      <sz val="11"/>
      <color theme="1"/>
      <name val="Calibri"/>
      <family val="2"/>
    </font>
    <font>
      <sz val="11"/>
      <color rgb="FFFF0000"/>
      <name val="Calibri"/>
      <family val="2"/>
    </font>
    <font>
      <b/>
      <sz val="10"/>
      <color theme="1"/>
      <name val="Arial"/>
      <family val="2"/>
    </font>
    <font>
      <u/>
      <sz val="10"/>
      <color theme="1"/>
      <name val="Arial"/>
      <family val="2"/>
    </font>
    <font>
      <sz val="10"/>
      <color rgb="FF000000"/>
      <name val="Arial"/>
      <family val="2"/>
      <charset val="238"/>
    </font>
    <font>
      <sz val="10"/>
      <name val="Calibri"/>
      <family val="2"/>
    </font>
    <font>
      <sz val="11"/>
      <color theme="0"/>
      <name val="Arial"/>
      <family val="2"/>
    </font>
    <font>
      <sz val="10"/>
      <name val="Calibri"/>
      <family val="2"/>
      <charset val="238"/>
      <scheme val="minor"/>
    </font>
    <font>
      <sz val="10"/>
      <color theme="0"/>
      <name val="Calibri"/>
      <family val="2"/>
      <charset val="238"/>
      <scheme val="minor"/>
    </font>
    <font>
      <sz val="10"/>
      <color theme="0"/>
      <name val="Arial"/>
      <family val="2"/>
    </font>
    <font>
      <sz val="12"/>
      <name val="Calibri"/>
      <family val="2"/>
    </font>
    <font>
      <sz val="18"/>
      <color rgb="FF000000"/>
      <name val="Verdana"/>
      <family val="2"/>
    </font>
    <font>
      <sz val="18"/>
      <name val="Calibri"/>
      <family val="2"/>
    </font>
    <font>
      <b/>
      <sz val="11"/>
      <color rgb="FF000000"/>
      <name val="Arial"/>
      <family val="2"/>
    </font>
    <font>
      <u/>
      <sz val="11"/>
      <color rgb="FF000000"/>
      <name val="Arial"/>
      <family val="2"/>
    </font>
    <font>
      <sz val="18"/>
      <name val="Arial"/>
      <family val="2"/>
    </font>
    <font>
      <sz val="11"/>
      <color theme="1"/>
      <name val="Calibri"/>
      <family val="2"/>
      <charset val="238"/>
      <scheme val="minor"/>
    </font>
    <font>
      <b/>
      <i/>
      <sz val="11"/>
      <color theme="1"/>
      <name val="Calibri"/>
      <family val="2"/>
      <scheme val="minor"/>
    </font>
    <font>
      <b/>
      <sz val="11"/>
      <color theme="1"/>
      <name val="Calibri"/>
      <family val="2"/>
      <charset val="238"/>
      <scheme val="minor"/>
    </font>
    <font>
      <b/>
      <i/>
      <sz val="11"/>
      <color theme="1"/>
      <name val="Calibri"/>
      <family val="2"/>
      <charset val="238"/>
      <scheme val="minor"/>
    </font>
    <font>
      <sz val="12"/>
      <name val="Cambria"/>
      <family val="1"/>
      <scheme val="major"/>
    </font>
    <font>
      <sz val="12"/>
      <name val="Calibri"/>
      <family val="2"/>
      <scheme val="minor"/>
    </font>
    <font>
      <sz val="11"/>
      <name val="Calibri"/>
      <family val="2"/>
      <charset val="238"/>
      <scheme val="minor"/>
    </font>
    <font>
      <b/>
      <sz val="11"/>
      <color rgb="FF000000"/>
      <name val="Calibri"/>
      <family val="2"/>
      <charset val="238"/>
      <scheme val="minor"/>
    </font>
    <font>
      <b/>
      <sz val="11"/>
      <name val="Calibri"/>
      <family val="2"/>
      <charset val="238"/>
      <scheme val="minor"/>
    </font>
    <font>
      <sz val="11"/>
      <color rgb="FF000000"/>
      <name val="Calibri"/>
      <family val="2"/>
      <charset val="238"/>
      <scheme val="minor"/>
    </font>
    <font>
      <b/>
      <i/>
      <sz val="11"/>
      <name val="Calibri"/>
      <family val="2"/>
      <scheme val="minor"/>
    </font>
    <font>
      <sz val="11"/>
      <color rgb="FFFF0000"/>
      <name val="Calibri"/>
      <family val="2"/>
      <charset val="238"/>
      <scheme val="minor"/>
    </font>
    <font>
      <sz val="10"/>
      <color theme="1"/>
      <name val="Calibri"/>
      <family val="2"/>
      <charset val="238"/>
      <scheme val="minor"/>
    </font>
    <font>
      <b/>
      <sz val="10"/>
      <color theme="1"/>
      <name val="Calibri"/>
      <family val="2"/>
      <charset val="238"/>
      <scheme val="minor"/>
    </font>
    <font>
      <b/>
      <sz val="10"/>
      <color rgb="FF000000"/>
      <name val="Calibri"/>
      <family val="2"/>
      <charset val="238"/>
      <scheme val="minor"/>
    </font>
    <font>
      <b/>
      <i/>
      <sz val="10"/>
      <color theme="1"/>
      <name val="Calibri"/>
      <family val="2"/>
      <charset val="238"/>
      <scheme val="minor"/>
    </font>
    <font>
      <b/>
      <sz val="10"/>
      <name val="Calibri"/>
      <family val="2"/>
      <charset val="238"/>
      <scheme val="minor"/>
    </font>
    <font>
      <b/>
      <sz val="10"/>
      <color rgb="FFFF0000"/>
      <name val="Calibri"/>
      <family val="2"/>
      <charset val="238"/>
      <scheme val="minor"/>
    </font>
    <font>
      <sz val="10"/>
      <color rgb="FFFF0000"/>
      <name val="Calibri"/>
      <family val="2"/>
      <charset val="238"/>
      <scheme val="minor"/>
    </font>
    <font>
      <b/>
      <sz val="11"/>
      <color theme="1"/>
      <name val="Calibri"/>
      <family val="2"/>
    </font>
    <font>
      <i/>
      <sz val="11"/>
      <color theme="1"/>
      <name val="Calibri"/>
      <family val="2"/>
    </font>
    <font>
      <b/>
      <i/>
      <sz val="11"/>
      <color theme="1"/>
      <name val="Calibri"/>
      <family val="2"/>
    </font>
    <font>
      <b/>
      <sz val="11"/>
      <name val="Calibri"/>
      <family val="2"/>
    </font>
    <font>
      <sz val="11"/>
      <color indexed="10"/>
      <name val="Book Antiqua"/>
      <family val="1"/>
    </font>
    <font>
      <b/>
      <sz val="11"/>
      <name val="Book Antiqua"/>
      <family val="1"/>
    </font>
    <font>
      <sz val="11"/>
      <name val="Book Antiqua"/>
      <family val="1"/>
    </font>
    <font>
      <sz val="11"/>
      <color theme="1"/>
      <name val="Book Antiqua"/>
      <family val="1"/>
    </font>
    <font>
      <sz val="10"/>
      <name val="MS Sans Serif"/>
      <family val="2"/>
    </font>
    <font>
      <b/>
      <sz val="11"/>
      <color theme="1"/>
      <name val="Book Antiqua"/>
      <family val="1"/>
    </font>
    <font>
      <b/>
      <sz val="11"/>
      <color rgb="FF00B0F0"/>
      <name val="Book Antiqua"/>
      <family val="1"/>
    </font>
    <font>
      <b/>
      <sz val="11"/>
      <color rgb="FFFF0000"/>
      <name val="Book Antiqua"/>
      <family val="1"/>
    </font>
    <font>
      <sz val="11"/>
      <color rgb="FFFF0000"/>
      <name val="Book Antiqua"/>
      <family val="1"/>
    </font>
    <font>
      <sz val="11"/>
      <color rgb="FF00B0F0"/>
      <name val="Book Antiqua"/>
      <family val="1"/>
    </font>
    <font>
      <b/>
      <sz val="11"/>
      <color rgb="FFC00000"/>
      <name val="Book Antiqua"/>
      <family val="1"/>
    </font>
    <font>
      <sz val="11"/>
      <color indexed="8"/>
      <name val="Book Antiqua"/>
      <family val="1"/>
    </font>
    <font>
      <sz val="11"/>
      <color rgb="FFC00000"/>
      <name val="Book Antiqua"/>
      <family val="1"/>
    </font>
    <font>
      <sz val="11"/>
      <color rgb="FF0070C0"/>
      <name val="Book Antiqua"/>
      <family val="1"/>
    </font>
    <font>
      <sz val="18"/>
      <color rgb="FF000000"/>
      <name val="Arial"/>
      <family val="2"/>
      <charset val="238"/>
    </font>
    <font>
      <sz val="18"/>
      <name val="Arial"/>
      <family val="2"/>
      <charset val="238"/>
    </font>
    <font>
      <sz val="12"/>
      <name val="Arial"/>
      <family val="2"/>
      <charset val="238"/>
    </font>
    <font>
      <b/>
      <sz val="12"/>
      <color rgb="FF000000"/>
      <name val="Arial"/>
      <family val="2"/>
      <charset val="238"/>
    </font>
    <font>
      <u/>
      <sz val="12"/>
      <color rgb="FF000000"/>
      <name val="Arial"/>
      <family val="2"/>
      <charset val="238"/>
    </font>
    <font>
      <b/>
      <sz val="12"/>
      <color rgb="FFFFFFFF"/>
      <name val="Arial"/>
      <family val="2"/>
      <charset val="238"/>
    </font>
    <font>
      <sz val="12"/>
      <color rgb="FF000000"/>
      <name val="Arial"/>
      <family val="2"/>
      <charset val="238"/>
    </font>
    <font>
      <sz val="12"/>
      <color theme="1"/>
      <name val="Arial"/>
      <family val="2"/>
      <charset val="238"/>
    </font>
    <font>
      <sz val="12"/>
      <color rgb="FFFF0000"/>
      <name val="Arial"/>
      <family val="2"/>
      <charset val="238"/>
    </font>
    <font>
      <sz val="16"/>
      <color theme="1"/>
      <name val="Arial"/>
      <family val="2"/>
      <charset val="238"/>
    </font>
    <font>
      <sz val="11"/>
      <name val="Calibri"/>
      <family val="2"/>
      <charset val="238"/>
    </font>
    <font>
      <sz val="12"/>
      <name val="Calibri"/>
      <family val="2"/>
      <charset val="238"/>
    </font>
    <font>
      <sz val="16"/>
      <color rgb="FF000000"/>
      <name val="Arial"/>
      <family val="2"/>
    </font>
    <font>
      <b/>
      <sz val="12"/>
      <color rgb="FF000000"/>
      <name val="Arial"/>
      <family val="2"/>
    </font>
    <font>
      <u/>
      <sz val="12"/>
      <color rgb="FF000000"/>
      <name val="Arial"/>
      <family val="2"/>
    </font>
    <font>
      <sz val="16"/>
      <color theme="1"/>
      <name val="Arial"/>
      <family val="2"/>
    </font>
    <font>
      <sz val="12"/>
      <color rgb="FF000000"/>
      <name val="Arial"/>
      <family val="2"/>
    </font>
    <font>
      <b/>
      <sz val="12"/>
      <color theme="1"/>
      <name val="Arial"/>
      <family val="2"/>
    </font>
    <font>
      <u/>
      <sz val="12"/>
      <color theme="1"/>
      <name val="Arial"/>
      <family val="2"/>
    </font>
    <font>
      <sz val="12"/>
      <color theme="0"/>
      <name val="Arial"/>
      <family val="2"/>
    </font>
    <font>
      <b/>
      <sz val="12"/>
      <color theme="0"/>
      <name val="Arial"/>
      <family val="2"/>
    </font>
    <font>
      <sz val="16"/>
      <color rgb="FF000000"/>
      <name val="Arial"/>
      <family val="2"/>
      <charset val="238"/>
    </font>
    <font>
      <sz val="16"/>
      <name val="Arial"/>
      <family val="2"/>
      <charset val="238"/>
    </font>
    <font>
      <b/>
      <sz val="12"/>
      <color theme="1"/>
      <name val="Arial"/>
      <family val="2"/>
      <charset val="238"/>
    </font>
    <font>
      <u/>
      <sz val="12"/>
      <color theme="1"/>
      <name val="Arial"/>
      <family val="2"/>
      <charset val="238"/>
    </font>
    <font>
      <b/>
      <sz val="12"/>
      <color rgb="FFFFFFFF"/>
      <name val="Arial"/>
      <family val="2"/>
    </font>
    <font>
      <sz val="20"/>
      <color rgb="FF000000"/>
      <name val="Verdana"/>
      <family val="2"/>
      <charset val="238"/>
    </font>
    <font>
      <b/>
      <sz val="10"/>
      <color rgb="FF000000"/>
      <name val="Arial"/>
      <family val="2"/>
      <charset val="238"/>
    </font>
    <font>
      <u/>
      <sz val="10"/>
      <color rgb="FF000000"/>
      <name val="Arial"/>
      <family val="2"/>
      <charset val="238"/>
    </font>
    <font>
      <sz val="20"/>
      <color rgb="FF000000"/>
      <name val="Verdana"/>
      <family val="2"/>
    </font>
    <font>
      <b/>
      <sz val="11"/>
      <color theme="0"/>
      <name val="Calibri"/>
      <family val="2"/>
    </font>
  </fonts>
  <fills count="28">
    <fill>
      <patternFill patternType="none"/>
    </fill>
    <fill>
      <patternFill patternType="gray125"/>
    </fill>
    <fill>
      <patternFill patternType="solid">
        <fgColor indexed="9"/>
        <bgColor indexed="64"/>
      </patternFill>
    </fill>
    <fill>
      <patternFill patternType="solid">
        <fgColor indexed="9"/>
        <bgColor indexed="32"/>
      </patternFill>
    </fill>
    <fill>
      <patternFill patternType="solid">
        <fgColor indexed="9"/>
        <bgColor indexed="9"/>
      </patternFill>
    </fill>
    <fill>
      <patternFill patternType="solid">
        <fgColor indexed="22"/>
        <bgColor indexed="64"/>
      </patternFill>
    </fill>
    <fill>
      <patternFill patternType="solid">
        <fgColor indexed="22"/>
        <bgColor indexed="32"/>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32"/>
      </patternFill>
    </fill>
    <fill>
      <patternFill patternType="solid">
        <fgColor theme="0"/>
        <bgColor indexed="9"/>
      </patternFill>
    </fill>
    <fill>
      <patternFill patternType="solid">
        <fgColor indexed="41"/>
        <bgColor indexed="64"/>
      </patternFill>
    </fill>
    <fill>
      <patternFill patternType="solid">
        <fgColor rgb="FF6495ED"/>
        <bgColor rgb="FF6495ED"/>
      </patternFill>
    </fill>
    <fill>
      <patternFill patternType="solid">
        <fgColor rgb="FFFFFFFF"/>
        <bgColor indexed="64"/>
      </patternFill>
    </fill>
    <fill>
      <patternFill patternType="solid">
        <fgColor indexed="65"/>
        <bgColor indexed="64"/>
      </patternFill>
    </fill>
    <fill>
      <patternFill patternType="solid">
        <fgColor rgb="FFFFFFFF"/>
      </patternFill>
    </fill>
    <fill>
      <patternFill patternType="solid">
        <fgColor theme="6" tint="0.79998168889431442"/>
        <bgColor indexed="64"/>
      </patternFill>
    </fill>
    <fill>
      <patternFill patternType="solid">
        <fgColor theme="7" tint="0.59999389629810485"/>
        <bgColor indexed="64"/>
      </patternFill>
    </fill>
    <fill>
      <patternFill patternType="solid">
        <fgColor rgb="FF00B0F0"/>
        <bgColor indexed="64"/>
      </patternFill>
    </fill>
    <fill>
      <patternFill patternType="solid">
        <fgColor theme="0"/>
        <bgColor indexed="10"/>
      </patternFill>
    </fill>
    <fill>
      <patternFill patternType="solid">
        <fgColor theme="9" tint="0.79998168889431442"/>
        <bgColor indexed="64"/>
      </patternFill>
    </fill>
    <fill>
      <patternFill patternType="solid">
        <fgColor theme="9" tint="0.79998168889431442"/>
        <bgColor indexed="10"/>
      </patternFill>
    </fill>
    <fill>
      <patternFill patternType="solid">
        <fgColor theme="3" tint="0.59999389629810485"/>
        <bgColor rgb="FF6495ED"/>
      </patternFill>
    </fill>
    <fill>
      <patternFill patternType="solid">
        <fgColor theme="3" tint="0.59999389629810485"/>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medium">
        <color indexed="64"/>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s>
  <cellStyleXfs count="7">
    <xf numFmtId="0" fontId="0" fillId="0" borderId="0"/>
    <xf numFmtId="43" fontId="1" fillId="0" borderId="0" applyFont="0" applyFill="0" applyBorder="0" applyAlignment="0" applyProtection="0"/>
    <xf numFmtId="0" fontId="28" fillId="0" borderId="0"/>
    <xf numFmtId="43" fontId="28" fillId="0" borderId="0" applyFont="0" applyFill="0" applyBorder="0" applyAlignment="0" applyProtection="0"/>
    <xf numFmtId="0" fontId="190" fillId="0" borderId="0"/>
    <xf numFmtId="0" fontId="190" fillId="0" borderId="0"/>
    <xf numFmtId="0" fontId="28" fillId="0" borderId="0"/>
  </cellStyleXfs>
  <cellXfs count="3063">
    <xf numFmtId="0" fontId="0" fillId="0" borderId="0" xfId="0"/>
    <xf numFmtId="0" fontId="0" fillId="0" borderId="1" xfId="0" applyBorder="1"/>
    <xf numFmtId="0" fontId="3" fillId="0" borderId="1" xfId="0" applyFont="1" applyBorder="1"/>
    <xf numFmtId="0" fontId="4" fillId="0" borderId="1" xfId="0" applyFont="1" applyBorder="1"/>
    <xf numFmtId="0" fontId="3" fillId="0" borderId="0" xfId="0" applyFont="1"/>
    <xf numFmtId="0" fontId="0" fillId="0" borderId="0" xfId="0" applyBorder="1"/>
    <xf numFmtId="0" fontId="0" fillId="0" borderId="2" xfId="0" applyBorder="1"/>
    <xf numFmtId="0" fontId="0" fillId="0" borderId="3" xfId="0" applyBorder="1"/>
    <xf numFmtId="0" fontId="0" fillId="0" borderId="4" xfId="0" applyBorder="1"/>
    <xf numFmtId="0" fontId="6" fillId="2" borderId="0" xfId="0" applyFont="1" applyFill="1"/>
    <xf numFmtId="0" fontId="7" fillId="2" borderId="0" xfId="0" applyFont="1" applyFill="1"/>
    <xf numFmtId="0" fontId="8" fillId="2" borderId="0" xfId="0" applyFont="1" applyFill="1"/>
    <xf numFmtId="0" fontId="7" fillId="0" borderId="0" xfId="0" applyFont="1"/>
    <xf numFmtId="0" fontId="6" fillId="0" borderId="0" xfId="0" applyFont="1"/>
    <xf numFmtId="0" fontId="7" fillId="2" borderId="5" xfId="0" applyFont="1" applyFill="1" applyBorder="1"/>
    <xf numFmtId="0" fontId="6" fillId="2" borderId="6" xfId="0" applyFont="1" applyFill="1" applyBorder="1"/>
    <xf numFmtId="0" fontId="9" fillId="2" borderId="7" xfId="0" applyFont="1" applyFill="1" applyBorder="1"/>
    <xf numFmtId="0" fontId="9" fillId="2" borderId="0" xfId="0" applyFont="1" applyFill="1"/>
    <xf numFmtId="0" fontId="9" fillId="2" borderId="6" xfId="0" applyFont="1" applyFill="1" applyBorder="1"/>
    <xf numFmtId="0" fontId="9" fillId="2" borderId="6" xfId="0" applyFont="1" applyFill="1" applyBorder="1" applyAlignment="1">
      <alignment horizontal="center"/>
    </xf>
    <xf numFmtId="0" fontId="10" fillId="2" borderId="8" xfId="0" applyFont="1" applyFill="1" applyBorder="1" applyAlignment="1">
      <alignment horizontal="center"/>
    </xf>
    <xf numFmtId="0" fontId="7" fillId="2" borderId="9" xfId="0" applyFont="1" applyFill="1" applyBorder="1"/>
    <xf numFmtId="0" fontId="11" fillId="2" borderId="10" xfId="0" applyFont="1" applyFill="1" applyBorder="1"/>
    <xf numFmtId="0" fontId="11" fillId="2" borderId="5" xfId="0" applyFont="1" applyFill="1" applyBorder="1"/>
    <xf numFmtId="0" fontId="11" fillId="2" borderId="9" xfId="0" applyFont="1" applyFill="1" applyBorder="1"/>
    <xf numFmtId="0" fontId="11" fillId="2" borderId="9"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right"/>
    </xf>
    <xf numFmtId="0" fontId="7" fillId="0" borderId="1" xfId="0" applyFont="1" applyBorder="1" applyAlignment="1">
      <alignment horizontal="left"/>
    </xf>
    <xf numFmtId="0" fontId="7" fillId="0" borderId="1" xfId="0" applyFont="1" applyBorder="1" applyAlignment="1">
      <alignment horizontal="center"/>
    </xf>
    <xf numFmtId="0" fontId="6" fillId="0" borderId="1" xfId="0" applyFont="1" applyBorder="1" applyAlignment="1">
      <alignment horizontal="center"/>
    </xf>
    <xf numFmtId="0" fontId="8" fillId="0" borderId="1" xfId="0" applyFont="1" applyBorder="1"/>
    <xf numFmtId="0" fontId="7" fillId="0" borderId="1" xfId="0" applyFont="1" applyBorder="1" applyAlignment="1">
      <alignment horizontal="right"/>
    </xf>
    <xf numFmtId="0" fontId="7" fillId="0" borderId="1" xfId="0" applyFont="1" applyBorder="1"/>
    <xf numFmtId="2" fontId="6" fillId="0" borderId="1" xfId="0" applyNumberFormat="1" applyFont="1" applyBorder="1" applyAlignment="1">
      <alignment horizontal="right"/>
    </xf>
    <xf numFmtId="0" fontId="7" fillId="0" borderId="1" xfId="0" applyFont="1" applyBorder="1" applyAlignment="1">
      <alignment horizontal="justify"/>
    </xf>
    <xf numFmtId="0" fontId="12" fillId="0" borderId="1" xfId="0" applyFont="1" applyBorder="1" applyAlignment="1">
      <alignment horizontal="left"/>
    </xf>
    <xf numFmtId="0" fontId="6" fillId="0" borderId="1" xfId="0" applyFont="1" applyBorder="1"/>
    <xf numFmtId="2" fontId="6" fillId="0" borderId="1" xfId="0" applyNumberFormat="1" applyFont="1" applyBorder="1"/>
    <xf numFmtId="2" fontId="7" fillId="0" borderId="1" xfId="0" applyNumberFormat="1" applyFont="1" applyBorder="1" applyAlignment="1">
      <alignment horizontal="center"/>
    </xf>
    <xf numFmtId="2" fontId="7" fillId="0" borderId="1" xfId="0" applyNumberFormat="1" applyFont="1" applyBorder="1"/>
    <xf numFmtId="2" fontId="13" fillId="0" borderId="1" xfId="0" applyNumberFormat="1" applyFont="1" applyBorder="1" applyAlignment="1">
      <alignment horizontal="right"/>
    </xf>
    <xf numFmtId="0" fontId="9" fillId="0" borderId="1" xfId="0" applyFont="1" applyBorder="1"/>
    <xf numFmtId="164" fontId="7" fillId="0" borderId="1" xfId="0" applyNumberFormat="1" applyFont="1" applyBorder="1" applyAlignment="1">
      <alignment horizontal="center"/>
    </xf>
    <xf numFmtId="164" fontId="6" fillId="0" borderId="1" xfId="0" applyNumberFormat="1" applyFont="1" applyBorder="1" applyAlignment="1">
      <alignment horizontal="center"/>
    </xf>
    <xf numFmtId="2" fontId="7" fillId="0" borderId="1" xfId="0" applyNumberFormat="1" applyFont="1" applyBorder="1" applyAlignment="1">
      <alignment horizontal="right"/>
    </xf>
    <xf numFmtId="0" fontId="6" fillId="0" borderId="0" xfId="0" applyFont="1" applyAlignment="1">
      <alignment horizontal="left"/>
    </xf>
    <xf numFmtId="2" fontId="8" fillId="0" borderId="1" xfId="0" applyNumberFormat="1" applyFont="1" applyBorder="1" applyAlignment="1">
      <alignment horizontal="right"/>
    </xf>
    <xf numFmtId="0" fontId="6" fillId="0" borderId="0" xfId="0" applyFont="1" applyAlignment="1">
      <alignment horizontal="center"/>
    </xf>
    <xf numFmtId="2" fontId="8" fillId="0" borderId="1" xfId="0" applyNumberFormat="1" applyFont="1" applyBorder="1"/>
    <xf numFmtId="0" fontId="8" fillId="0" borderId="0" xfId="0" applyFont="1" applyAlignment="1">
      <alignment horizontal="center"/>
    </xf>
    <xf numFmtId="0" fontId="8" fillId="0" borderId="0" xfId="0" applyFont="1"/>
    <xf numFmtId="0" fontId="15" fillId="0" borderId="0" xfId="0" applyFont="1" applyAlignment="1">
      <alignment horizontal="left"/>
    </xf>
    <xf numFmtId="1" fontId="6" fillId="0" borderId="1" xfId="0" applyNumberFormat="1" applyFont="1" applyBorder="1"/>
    <xf numFmtId="1" fontId="4" fillId="0" borderId="1" xfId="0" applyNumberFormat="1" applyFont="1" applyBorder="1"/>
    <xf numFmtId="0" fontId="16" fillId="0" borderId="1" xfId="0" applyFont="1" applyBorder="1"/>
    <xf numFmtId="2" fontId="6" fillId="0" borderId="1" xfId="0" applyNumberFormat="1" applyFont="1" applyFill="1" applyBorder="1" applyAlignment="1">
      <alignment horizontal="right"/>
    </xf>
    <xf numFmtId="0" fontId="0" fillId="0" borderId="11" xfId="0" applyBorder="1"/>
    <xf numFmtId="0" fontId="13" fillId="2" borderId="0" xfId="0" applyFont="1" applyFill="1"/>
    <xf numFmtId="0" fontId="17" fillId="0" borderId="0" xfId="0" applyFont="1" applyAlignment="1">
      <alignment horizontal="left"/>
    </xf>
    <xf numFmtId="0" fontId="8" fillId="0" borderId="0" xfId="0" applyFont="1" applyAlignment="1">
      <alignment horizontal="left"/>
    </xf>
    <xf numFmtId="0" fontId="13" fillId="0" borderId="0" xfId="0" applyFont="1"/>
    <xf numFmtId="1" fontId="0" fillId="0" borderId="0" xfId="0" applyNumberFormat="1"/>
    <xf numFmtId="2" fontId="0" fillId="0" borderId="0" xfId="0" applyNumberFormat="1"/>
    <xf numFmtId="2" fontId="6" fillId="0" borderId="7" xfId="0" applyNumberFormat="1" applyFont="1" applyFill="1" applyBorder="1" applyAlignment="1">
      <alignment horizontal="right"/>
    </xf>
    <xf numFmtId="0" fontId="5" fillId="0" borderId="0" xfId="0" applyFont="1"/>
    <xf numFmtId="0" fontId="5" fillId="0" borderId="1" xfId="0" applyFont="1" applyBorder="1"/>
    <xf numFmtId="0" fontId="18" fillId="0" borderId="12" xfId="0" applyFont="1" applyBorder="1"/>
    <xf numFmtId="0" fontId="0" fillId="0" borderId="13" xfId="0" applyBorder="1"/>
    <xf numFmtId="0" fontId="5" fillId="0" borderId="1" xfId="0" applyFont="1" applyBorder="1" applyAlignment="1">
      <alignment horizontal="center"/>
    </xf>
    <xf numFmtId="0" fontId="19" fillId="0" borderId="0" xfId="0" applyFont="1" applyBorder="1"/>
    <xf numFmtId="0" fontId="3" fillId="0" borderId="0" xfId="0" applyFont="1" applyBorder="1"/>
    <xf numFmtId="0" fontId="20" fillId="0" borderId="1" xfId="0" applyFont="1" applyBorder="1" applyAlignment="1">
      <alignment horizontal="center"/>
    </xf>
    <xf numFmtId="0" fontId="20" fillId="0" borderId="10" xfId="0" applyFont="1" applyBorder="1" applyAlignment="1">
      <alignment horizontal="center"/>
    </xf>
    <xf numFmtId="0" fontId="20" fillId="0" borderId="14" xfId="0" applyFont="1" applyBorder="1" applyAlignment="1">
      <alignment horizontal="center"/>
    </xf>
    <xf numFmtId="0" fontId="3" fillId="0" borderId="11" xfId="0" applyFont="1" applyBorder="1" applyAlignment="1">
      <alignment horizontal="center"/>
    </xf>
    <xf numFmtId="0" fontId="19" fillId="0" borderId="10" xfId="0"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3" fillId="0" borderId="15" xfId="0" applyFont="1" applyBorder="1" applyAlignment="1">
      <alignment horizontal="center"/>
    </xf>
    <xf numFmtId="0" fontId="19" fillId="0" borderId="1" xfId="0" applyFont="1"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3" fillId="0" borderId="16" xfId="0" applyFont="1" applyBorder="1" applyAlignment="1">
      <alignment horizontal="center"/>
    </xf>
    <xf numFmtId="0" fontId="3" fillId="0" borderId="1" xfId="0" applyFont="1" applyBorder="1" applyAlignment="1">
      <alignment horizontal="center"/>
    </xf>
    <xf numFmtId="0" fontId="3" fillId="0" borderId="14" xfId="0" applyFont="1" applyBorder="1" applyAlignment="1">
      <alignment horizontal="center"/>
    </xf>
    <xf numFmtId="0" fontId="19" fillId="0" borderId="8" xfId="0" applyFont="1"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3" fillId="0" borderId="18" xfId="0" applyFont="1" applyBorder="1" applyAlignment="1">
      <alignment horizontal="center"/>
    </xf>
    <xf numFmtId="0" fontId="19" fillId="0" borderId="19" xfId="0" applyFont="1" applyBorder="1" applyAlignment="1">
      <alignment horizontal="center"/>
    </xf>
    <xf numFmtId="0" fontId="3" fillId="0" borderId="20" xfId="0" applyFont="1" applyBorder="1" applyAlignment="1">
      <alignment horizontal="center"/>
    </xf>
    <xf numFmtId="0" fontId="3" fillId="0" borderId="13" xfId="0" applyFont="1" applyBorder="1" applyAlignment="1">
      <alignment horizontal="center"/>
    </xf>
    <xf numFmtId="0" fontId="5" fillId="0" borderId="21" xfId="0" applyFont="1" applyBorder="1"/>
    <xf numFmtId="0" fontId="0" fillId="0" borderId="22" xfId="0" applyBorder="1"/>
    <xf numFmtId="0" fontId="0" fillId="0" borderId="23" xfId="0" applyBorder="1"/>
    <xf numFmtId="0" fontId="5" fillId="0" borderId="24" xfId="0" applyFont="1" applyBorder="1"/>
    <xf numFmtId="0" fontId="0" fillId="0" borderId="25" xfId="0" applyBorder="1"/>
    <xf numFmtId="0" fontId="5" fillId="0" borderId="26" xfId="0" applyFont="1" applyBorder="1"/>
    <xf numFmtId="0" fontId="0" fillId="0" borderId="27" xfId="0" applyBorder="1"/>
    <xf numFmtId="0" fontId="0" fillId="0" borderId="28" xfId="0" applyBorder="1"/>
    <xf numFmtId="0" fontId="0" fillId="0" borderId="24" xfId="0" applyBorder="1"/>
    <xf numFmtId="0" fontId="0" fillId="0" borderId="26" xfId="0" applyBorder="1"/>
    <xf numFmtId="0" fontId="23" fillId="0" borderId="22" xfId="0" applyFont="1" applyBorder="1"/>
    <xf numFmtId="0" fontId="23" fillId="0" borderId="0" xfId="0" applyFont="1" applyBorder="1"/>
    <xf numFmtId="0" fontId="22" fillId="0" borderId="12" xfId="0" applyFont="1" applyBorder="1"/>
    <xf numFmtId="0" fontId="21" fillId="0" borderId="12" xfId="0" applyFont="1" applyBorder="1"/>
    <xf numFmtId="0" fontId="2" fillId="0" borderId="24" xfId="0" applyFont="1" applyBorder="1"/>
    <xf numFmtId="0" fontId="3" fillId="0" borderId="24" xfId="0" applyFont="1" applyBorder="1"/>
    <xf numFmtId="0" fontId="0" fillId="0" borderId="21" xfId="0" applyBorder="1"/>
    <xf numFmtId="0" fontId="3" fillId="0" borderId="26" xfId="0" applyFont="1" applyBorder="1"/>
    <xf numFmtId="0" fontId="3" fillId="0" borderId="29" xfId="0" applyFont="1" applyBorder="1"/>
    <xf numFmtId="0" fontId="0" fillId="0" borderId="29" xfId="0" applyBorder="1"/>
    <xf numFmtId="1" fontId="6" fillId="0" borderId="29" xfId="0" applyNumberFormat="1" applyFont="1" applyBorder="1"/>
    <xf numFmtId="0" fontId="16" fillId="0" borderId="29" xfId="0" applyFont="1" applyBorder="1"/>
    <xf numFmtId="0" fontId="3" fillId="0" borderId="27" xfId="0" applyFont="1" applyBorder="1"/>
    <xf numFmtId="1" fontId="0" fillId="0" borderId="0" xfId="0" applyNumberFormat="1" applyBorder="1"/>
    <xf numFmtId="0" fontId="4" fillId="0" borderId="0" xfId="0" applyFont="1" applyBorder="1"/>
    <xf numFmtId="2" fontId="0" fillId="0" borderId="0" xfId="0" applyNumberFormat="1" applyBorder="1"/>
    <xf numFmtId="1" fontId="6" fillId="0" borderId="0" xfId="0" applyNumberFormat="1" applyFont="1" applyBorder="1"/>
    <xf numFmtId="1" fontId="4" fillId="0" borderId="0" xfId="0" applyNumberFormat="1" applyFont="1" applyBorder="1"/>
    <xf numFmtId="0" fontId="16" fillId="0" borderId="0" xfId="0" applyFont="1" applyBorder="1"/>
    <xf numFmtId="2" fontId="6" fillId="0" borderId="0" xfId="0" applyNumberFormat="1" applyFont="1" applyFill="1" applyBorder="1" applyAlignment="1">
      <alignment horizontal="right"/>
    </xf>
    <xf numFmtId="0" fontId="0" fillId="2" borderId="14" xfId="0" applyFill="1" applyBorder="1"/>
    <xf numFmtId="0" fontId="5" fillId="2" borderId="14" xfId="0" applyFont="1" applyFill="1" applyBorder="1"/>
    <xf numFmtId="2" fontId="6" fillId="0" borderId="29" xfId="0" applyNumberFormat="1" applyFont="1" applyBorder="1" applyAlignment="1">
      <alignment horizontal="right"/>
    </xf>
    <xf numFmtId="2" fontId="6" fillId="0" borderId="29" xfId="0" applyNumberFormat="1" applyFont="1" applyBorder="1"/>
    <xf numFmtId="0" fontId="0" fillId="2" borderId="1" xfId="0" applyFill="1" applyBorder="1"/>
    <xf numFmtId="0" fontId="23" fillId="2" borderId="1" xfId="0" applyFont="1" applyFill="1" applyBorder="1"/>
    <xf numFmtId="0" fontId="5" fillId="2" borderId="1" xfId="0" applyFont="1" applyFill="1" applyBorder="1"/>
    <xf numFmtId="1" fontId="23" fillId="2" borderId="1" xfId="0" applyNumberFormat="1" applyFont="1" applyFill="1" applyBorder="1"/>
    <xf numFmtId="0" fontId="2" fillId="2" borderId="1" xfId="0" applyFont="1" applyFill="1" applyBorder="1"/>
    <xf numFmtId="0" fontId="24" fillId="2" borderId="1" xfId="0" applyFont="1" applyFill="1" applyBorder="1"/>
    <xf numFmtId="0" fontId="22" fillId="0" borderId="30" xfId="0" applyFont="1" applyBorder="1"/>
    <xf numFmtId="0" fontId="0" fillId="0" borderId="12" xfId="0" applyBorder="1"/>
    <xf numFmtId="0" fontId="0" fillId="0" borderId="30" xfId="0" applyBorder="1"/>
    <xf numFmtId="0" fontId="0" fillId="0" borderId="0" xfId="0" applyAlignment="1">
      <alignment horizontal="right"/>
    </xf>
    <xf numFmtId="0" fontId="3" fillId="0" borderId="0" xfId="0" applyFont="1" applyFill="1" applyBorder="1" applyAlignment="1">
      <alignment horizontal="right"/>
    </xf>
    <xf numFmtId="0" fontId="0" fillId="0" borderId="31" xfId="0" applyBorder="1"/>
    <xf numFmtId="0" fontId="0" fillId="0" borderId="32" xfId="0" applyBorder="1"/>
    <xf numFmtId="0" fontId="0" fillId="0" borderId="0" xfId="0" applyFill="1" applyBorder="1" applyAlignment="1">
      <alignment horizontal="right"/>
    </xf>
    <xf numFmtId="0" fontId="22" fillId="0" borderId="0" xfId="0" applyFont="1" applyBorder="1"/>
    <xf numFmtId="0" fontId="5" fillId="0" borderId="0" xfId="0" applyFont="1" applyBorder="1"/>
    <xf numFmtId="0" fontId="21" fillId="0" borderId="0" xfId="0" applyFont="1" applyBorder="1"/>
    <xf numFmtId="0" fontId="2" fillId="0" borderId="0" xfId="0" applyFont="1" applyBorder="1"/>
    <xf numFmtId="0" fontId="0" fillId="0" borderId="8" xfId="0" applyBorder="1"/>
    <xf numFmtId="0" fontId="3" fillId="0" borderId="12" xfId="0" applyFont="1" applyBorder="1"/>
    <xf numFmtId="0" fontId="3" fillId="0" borderId="13" xfId="0" applyFont="1" applyBorder="1"/>
    <xf numFmtId="2" fontId="5" fillId="0" borderId="0" xfId="0" applyNumberFormat="1" applyFont="1" applyBorder="1"/>
    <xf numFmtId="0" fontId="0" fillId="0" borderId="0" xfId="0" applyFill="1" applyBorder="1"/>
    <xf numFmtId="0" fontId="0" fillId="0" borderId="14" xfId="0" applyBorder="1"/>
    <xf numFmtId="0" fontId="0" fillId="0" borderId="10" xfId="0" applyBorder="1"/>
    <xf numFmtId="0" fontId="3" fillId="0" borderId="11" xfId="0" applyFont="1" applyBorder="1"/>
    <xf numFmtId="0" fontId="2" fillId="0" borderId="11" xfId="0" applyFont="1" applyFill="1" applyBorder="1"/>
    <xf numFmtId="0" fontId="3" fillId="0" borderId="33" xfId="0" applyFont="1" applyBorder="1" applyAlignment="1">
      <alignment horizontal="center"/>
    </xf>
    <xf numFmtId="0" fontId="0" fillId="0" borderId="34" xfId="0" applyBorder="1" applyAlignment="1">
      <alignment horizontal="center"/>
    </xf>
    <xf numFmtId="2" fontId="7" fillId="0" borderId="0" xfId="0" applyNumberFormat="1" applyFont="1"/>
    <xf numFmtId="0" fontId="3" fillId="0" borderId="33" xfId="0" applyFont="1" applyBorder="1"/>
    <xf numFmtId="0" fontId="3" fillId="0" borderId="35" xfId="0" applyFont="1" applyBorder="1"/>
    <xf numFmtId="0" fontId="4" fillId="2" borderId="1" xfId="0" applyFont="1" applyFill="1" applyBorder="1"/>
    <xf numFmtId="1" fontId="24" fillId="2" borderId="1" xfId="0" applyNumberFormat="1" applyFont="1" applyFill="1" applyBorder="1"/>
    <xf numFmtId="0" fontId="3" fillId="0" borderId="34" xfId="0" applyFont="1" applyBorder="1"/>
    <xf numFmtId="0" fontId="3" fillId="0" borderId="0" xfId="0" applyFont="1" applyAlignment="1">
      <alignment horizontal="right"/>
    </xf>
    <xf numFmtId="0" fontId="0" fillId="2" borderId="0" xfId="0" applyFill="1" applyBorder="1"/>
    <xf numFmtId="0" fontId="0" fillId="0" borderId="17" xfId="0" applyBorder="1"/>
    <xf numFmtId="0" fontId="3" fillId="0" borderId="23" xfId="0" applyFont="1" applyBorder="1"/>
    <xf numFmtId="0" fontId="31" fillId="0" borderId="0" xfId="0" applyFont="1"/>
    <xf numFmtId="0" fontId="31" fillId="0" borderId="0" xfId="0" applyFont="1" applyBorder="1"/>
    <xf numFmtId="0" fontId="33" fillId="0" borderId="0" xfId="0" applyFont="1"/>
    <xf numFmtId="0" fontId="33" fillId="0" borderId="12" xfId="0" applyFont="1" applyBorder="1"/>
    <xf numFmtId="0" fontId="33" fillId="0" borderId="13" xfId="0" applyFont="1" applyBorder="1"/>
    <xf numFmtId="0" fontId="33" fillId="0" borderId="1" xfId="0" applyFont="1" applyBorder="1"/>
    <xf numFmtId="0" fontId="34" fillId="0" borderId="11" xfId="0" applyFont="1" applyBorder="1" applyAlignment="1">
      <alignment horizontal="center"/>
    </xf>
    <xf numFmtId="0" fontId="35" fillId="0" borderId="10" xfId="0" applyFont="1" applyBorder="1" applyAlignment="1">
      <alignment horizontal="center"/>
    </xf>
    <xf numFmtId="0" fontId="35" fillId="0" borderId="1" xfId="0" applyFont="1" applyBorder="1" applyAlignment="1">
      <alignment horizontal="center"/>
    </xf>
    <xf numFmtId="0" fontId="33" fillId="0" borderId="1" xfId="0" applyFont="1" applyBorder="1" applyAlignment="1">
      <alignment horizontal="center"/>
    </xf>
    <xf numFmtId="0" fontId="35" fillId="0" borderId="8" xfId="0" applyFont="1" applyBorder="1" applyAlignment="1">
      <alignment horizontal="center"/>
    </xf>
    <xf numFmtId="0" fontId="33" fillId="0" borderId="0" xfId="0" applyFont="1" applyBorder="1"/>
    <xf numFmtId="0" fontId="34" fillId="0" borderId="0" xfId="0" applyFont="1"/>
    <xf numFmtId="0" fontId="34" fillId="0" borderId="0" xfId="0" applyFont="1" applyBorder="1"/>
    <xf numFmtId="3" fontId="34" fillId="0" borderId="0" xfId="0" applyNumberFormat="1" applyFont="1"/>
    <xf numFmtId="3" fontId="34" fillId="0" borderId="1" xfId="0" applyNumberFormat="1" applyFont="1" applyBorder="1"/>
    <xf numFmtId="0" fontId="35" fillId="0" borderId="36" xfId="0" applyFont="1" applyBorder="1" applyAlignment="1">
      <alignment horizontal="center"/>
    </xf>
    <xf numFmtId="0" fontId="35" fillId="0" borderId="31" xfId="0" applyFont="1" applyBorder="1" applyAlignment="1">
      <alignment horizontal="center"/>
    </xf>
    <xf numFmtId="0" fontId="33" fillId="0" borderId="31" xfId="0" applyFont="1" applyBorder="1" applyAlignment="1">
      <alignment horizontal="center"/>
    </xf>
    <xf numFmtId="0" fontId="33" fillId="0" borderId="32" xfId="0" applyFont="1" applyBorder="1"/>
    <xf numFmtId="3" fontId="34" fillId="0" borderId="3" xfId="0" applyNumberFormat="1" applyFont="1" applyBorder="1"/>
    <xf numFmtId="3" fontId="34" fillId="0" borderId="11" xfId="0" applyNumberFormat="1" applyFont="1" applyBorder="1" applyAlignment="1">
      <alignment horizontal="center"/>
    </xf>
    <xf numFmtId="3" fontId="34" fillId="0" borderId="15" xfId="0" applyNumberFormat="1" applyFont="1" applyBorder="1" applyAlignment="1">
      <alignment horizontal="center"/>
    </xf>
    <xf numFmtId="3" fontId="34" fillId="0" borderId="2" xfId="0" applyNumberFormat="1" applyFont="1" applyBorder="1"/>
    <xf numFmtId="3" fontId="34" fillId="0" borderId="16" xfId="0" applyNumberFormat="1" applyFont="1" applyBorder="1" applyAlignment="1">
      <alignment horizontal="center"/>
    </xf>
    <xf numFmtId="3" fontId="34" fillId="0" borderId="18" xfId="0" applyNumberFormat="1" applyFont="1" applyBorder="1" applyAlignment="1">
      <alignment horizontal="center"/>
    </xf>
    <xf numFmtId="3" fontId="34" fillId="0" borderId="4" xfId="0" applyNumberFormat="1" applyFont="1" applyBorder="1"/>
    <xf numFmtId="3" fontId="34" fillId="0" borderId="11" xfId="0" applyNumberFormat="1" applyFont="1" applyFill="1" applyBorder="1" applyAlignment="1">
      <alignment horizontal="center"/>
    </xf>
    <xf numFmtId="3" fontId="33" fillId="0" borderId="10" xfId="0" applyNumberFormat="1" applyFont="1" applyBorder="1" applyAlignment="1">
      <alignment horizontal="center"/>
    </xf>
    <xf numFmtId="3" fontId="33" fillId="0" borderId="1" xfId="0" applyNumberFormat="1" applyFont="1" applyBorder="1" applyAlignment="1">
      <alignment horizontal="center"/>
    </xf>
    <xf numFmtId="3" fontId="0" fillId="0" borderId="0" xfId="0" applyNumberFormat="1"/>
    <xf numFmtId="3" fontId="34" fillId="0" borderId="1" xfId="0" applyNumberFormat="1" applyFont="1" applyBorder="1" applyAlignment="1">
      <alignment horizontal="center"/>
    </xf>
    <xf numFmtId="3" fontId="34" fillId="0" borderId="14" xfId="0" applyNumberFormat="1" applyFont="1" applyBorder="1" applyAlignment="1">
      <alignment horizontal="center"/>
    </xf>
    <xf numFmtId="3" fontId="33" fillId="0" borderId="8" xfId="0" applyNumberFormat="1" applyFont="1" applyBorder="1" applyAlignment="1">
      <alignment horizontal="center"/>
    </xf>
    <xf numFmtId="3" fontId="33" fillId="0" borderId="0" xfId="0" applyNumberFormat="1" applyFont="1"/>
    <xf numFmtId="3" fontId="33" fillId="0" borderId="0" xfId="0" applyNumberFormat="1" applyFont="1" applyBorder="1"/>
    <xf numFmtId="3" fontId="20" fillId="0" borderId="37" xfId="0" applyNumberFormat="1" applyFont="1" applyBorder="1" applyAlignment="1">
      <alignment horizontal="center"/>
    </xf>
    <xf numFmtId="3" fontId="20" fillId="0" borderId="38" xfId="0" applyNumberFormat="1" applyFont="1" applyBorder="1" applyAlignment="1">
      <alignment horizontal="center"/>
    </xf>
    <xf numFmtId="3" fontId="33" fillId="0" borderId="37" xfId="0" applyNumberFormat="1" applyFont="1" applyBorder="1"/>
    <xf numFmtId="3" fontId="33" fillId="0" borderId="1" xfId="0" applyNumberFormat="1" applyFont="1" applyBorder="1"/>
    <xf numFmtId="3" fontId="33" fillId="0" borderId="3" xfId="0" applyNumberFormat="1" applyFont="1" applyBorder="1"/>
    <xf numFmtId="3" fontId="34" fillId="0" borderId="0" xfId="0" applyNumberFormat="1" applyFont="1" applyBorder="1"/>
    <xf numFmtId="3" fontId="34" fillId="0" borderId="39" xfId="0" applyNumberFormat="1" applyFont="1" applyBorder="1"/>
    <xf numFmtId="0" fontId="3" fillId="0" borderId="0" xfId="0" applyFont="1" applyFill="1" applyBorder="1"/>
    <xf numFmtId="0" fontId="0" fillId="2" borderId="0" xfId="0" applyFill="1" applyBorder="1" applyAlignment="1">
      <alignment horizontal="right"/>
    </xf>
    <xf numFmtId="0" fontId="39" fillId="2" borderId="0" xfId="0" applyFont="1" applyFill="1" applyBorder="1" applyAlignment="1">
      <alignment horizontal="right"/>
    </xf>
    <xf numFmtId="0" fontId="39" fillId="2" borderId="0" xfId="0" applyFont="1" applyFill="1" applyAlignment="1">
      <alignment horizontal="right"/>
    </xf>
    <xf numFmtId="0" fontId="16" fillId="2" borderId="0" xfId="0" applyFont="1" applyFill="1" applyBorder="1" applyAlignment="1">
      <alignment horizontal="right"/>
    </xf>
    <xf numFmtId="0" fontId="16" fillId="2" borderId="0" xfId="0" applyFont="1" applyFill="1" applyBorder="1" applyAlignment="1">
      <alignment horizontal="center"/>
    </xf>
    <xf numFmtId="0" fontId="40" fillId="2" borderId="0" xfId="0" applyFont="1" applyFill="1" applyBorder="1" applyAlignment="1">
      <alignment horizontal="right"/>
    </xf>
    <xf numFmtId="0" fontId="16" fillId="2" borderId="0" xfId="0" applyFont="1" applyFill="1" applyAlignment="1">
      <alignment horizontal="left"/>
    </xf>
    <xf numFmtId="0" fontId="38" fillId="2" borderId="0" xfId="0" applyFont="1" applyFill="1" applyAlignment="1">
      <alignment horizontal="left"/>
    </xf>
    <xf numFmtId="0" fontId="40" fillId="2" borderId="0" xfId="0" applyFont="1" applyFill="1" applyAlignment="1">
      <alignment horizontal="left"/>
    </xf>
    <xf numFmtId="49" fontId="41" fillId="2" borderId="0" xfId="0" applyNumberFormat="1" applyFont="1" applyFill="1" applyBorder="1" applyAlignment="1">
      <alignment horizontal="left"/>
    </xf>
    <xf numFmtId="0" fontId="16" fillId="0" borderId="0" xfId="0" applyFont="1" applyFill="1" applyBorder="1" applyAlignment="1">
      <alignment horizontal="left"/>
    </xf>
    <xf numFmtId="0" fontId="3" fillId="2" borderId="0" xfId="0" applyFont="1" applyFill="1" applyAlignment="1">
      <alignment horizontal="left"/>
    </xf>
    <xf numFmtId="49" fontId="42" fillId="2" borderId="0" xfId="0" applyNumberFormat="1" applyFont="1" applyFill="1" applyBorder="1" applyAlignment="1">
      <alignment horizontal="left"/>
    </xf>
    <xf numFmtId="0" fontId="3" fillId="0" borderId="0" xfId="0" applyFont="1" applyFill="1" applyBorder="1" applyAlignment="1">
      <alignment horizontal="left"/>
    </xf>
    <xf numFmtId="0" fontId="0" fillId="2" borderId="0" xfId="0" applyFill="1"/>
    <xf numFmtId="0" fontId="0" fillId="2" borderId="0" xfId="0" applyFill="1" applyAlignment="1"/>
    <xf numFmtId="0" fontId="38" fillId="2" borderId="0" xfId="0" applyFont="1" applyFill="1" applyAlignment="1">
      <alignment horizontal="center"/>
    </xf>
    <xf numFmtId="0" fontId="0" fillId="2" borderId="0" xfId="0" applyFill="1" applyBorder="1" applyAlignment="1"/>
    <xf numFmtId="0" fontId="28" fillId="2" borderId="0" xfId="0" applyFont="1" applyFill="1" applyAlignment="1"/>
    <xf numFmtId="0" fontId="6" fillId="2" borderId="0" xfId="0" applyFont="1" applyFill="1" applyAlignment="1">
      <alignment horizontal="left"/>
    </xf>
    <xf numFmtId="0" fontId="6" fillId="2" borderId="0" xfId="0" applyFont="1" applyFill="1" applyAlignment="1">
      <alignment horizontal="center"/>
    </xf>
    <xf numFmtId="0" fontId="0" fillId="2" borderId="0" xfId="0" applyFill="1" applyBorder="1" applyAlignment="1">
      <alignment horizontal="center"/>
    </xf>
    <xf numFmtId="0" fontId="3" fillId="2" borderId="0" xfId="0" applyFont="1" applyFill="1" applyAlignment="1">
      <alignment horizontal="center"/>
    </xf>
    <xf numFmtId="0" fontId="0" fillId="2" borderId="0" xfId="0" applyFill="1" applyBorder="1" applyAlignment="1">
      <alignment vertical="center" wrapText="1"/>
    </xf>
    <xf numFmtId="0" fontId="38" fillId="2" borderId="0" xfId="0" applyFont="1" applyFill="1" applyAlignment="1">
      <alignment vertical="center" wrapText="1"/>
    </xf>
    <xf numFmtId="0" fontId="16" fillId="2" borderId="0" xfId="0" applyFont="1" applyFill="1" applyBorder="1" applyAlignment="1">
      <alignment vertical="center" wrapText="1"/>
    </xf>
    <xf numFmtId="0" fontId="3" fillId="2" borderId="0" xfId="0" applyFont="1" applyFill="1" applyAlignment="1">
      <alignment vertical="center" wrapText="1"/>
    </xf>
    <xf numFmtId="0" fontId="38" fillId="2" borderId="0" xfId="0" applyFont="1" applyFill="1" applyAlignment="1">
      <alignment horizontal="right" vertical="center" wrapText="1"/>
    </xf>
    <xf numFmtId="0" fontId="10" fillId="2" borderId="0" xfId="0" applyFont="1" applyFill="1" applyAlignment="1">
      <alignment vertical="center" wrapText="1"/>
    </xf>
    <xf numFmtId="0" fontId="0" fillId="0" borderId="0" xfId="0" applyBorder="1" applyAlignment="1">
      <alignment vertical="center" wrapText="1"/>
    </xf>
    <xf numFmtId="0" fontId="19" fillId="2" borderId="0" xfId="0" applyFont="1" applyFill="1" applyBorder="1" applyAlignment="1">
      <alignment vertical="center" wrapText="1"/>
    </xf>
    <xf numFmtId="0" fontId="16" fillId="0" borderId="33" xfId="0" applyFont="1" applyBorder="1" applyAlignment="1">
      <alignment horizontal="center" vertical="center" textRotation="90" wrapText="1"/>
    </xf>
    <xf numFmtId="0" fontId="16" fillId="0" borderId="23" xfId="0" applyFont="1" applyBorder="1" applyAlignment="1">
      <alignment horizontal="center" vertical="center" textRotation="90" wrapText="1"/>
    </xf>
    <xf numFmtId="0" fontId="16" fillId="0" borderId="21" xfId="0" applyFont="1" applyBorder="1" applyAlignment="1">
      <alignment horizontal="center" vertical="center" textRotation="90" wrapText="1"/>
    </xf>
    <xf numFmtId="0" fontId="16" fillId="3" borderId="23" xfId="0" applyFont="1" applyFill="1" applyBorder="1" applyAlignment="1">
      <alignment horizontal="center" vertical="center" wrapText="1"/>
    </xf>
    <xf numFmtId="0" fontId="44" fillId="3" borderId="11" xfId="0" applyFont="1" applyFill="1" applyBorder="1" applyAlignment="1">
      <alignment horizontal="center" vertical="center" textRotation="90" wrapText="1"/>
    </xf>
    <xf numFmtId="0" fontId="44" fillId="4" borderId="11" xfId="0" applyFont="1" applyFill="1" applyBorder="1" applyAlignment="1">
      <alignment horizontal="center" vertical="center" textRotation="90" wrapText="1"/>
    </xf>
    <xf numFmtId="0" fontId="16" fillId="0" borderId="0" xfId="0" applyFont="1" applyFill="1" applyBorder="1"/>
    <xf numFmtId="49" fontId="2" fillId="2" borderId="11"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xf numFmtId="0" fontId="2" fillId="2" borderId="11" xfId="0" applyFont="1" applyFill="1" applyBorder="1" applyAlignment="1">
      <alignment horizontal="right"/>
    </xf>
    <xf numFmtId="0" fontId="35" fillId="3" borderId="13"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16" fillId="0" borderId="4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5" xfId="0" applyFont="1" applyBorder="1" applyAlignment="1">
      <alignment horizontal="center" vertical="center" wrapText="1"/>
    </xf>
    <xf numFmtId="0" fontId="28" fillId="3" borderId="5" xfId="0" applyFont="1" applyFill="1" applyBorder="1" applyAlignment="1">
      <alignment vertical="center" wrapText="1"/>
    </xf>
    <xf numFmtId="3" fontId="44" fillId="3" borderId="15" xfId="0" applyNumberFormat="1" applyFont="1" applyFill="1" applyBorder="1" applyAlignment="1">
      <alignment horizontal="center" vertical="center" wrapText="1"/>
    </xf>
    <xf numFmtId="3" fontId="44" fillId="4" borderId="5" xfId="0" applyNumberFormat="1" applyFont="1" applyFill="1" applyBorder="1" applyAlignment="1">
      <alignment horizontal="center" vertical="center" wrapText="1"/>
    </xf>
    <xf numFmtId="0" fontId="16" fillId="0" borderId="3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28" fillId="3" borderId="41" xfId="0" applyFont="1" applyFill="1" applyBorder="1" applyAlignment="1">
      <alignment vertical="center" wrapText="1"/>
    </xf>
    <xf numFmtId="3" fontId="44" fillId="3" borderId="16" xfId="0" applyNumberFormat="1" applyFont="1" applyFill="1" applyBorder="1" applyAlignment="1">
      <alignment horizontal="center" vertical="center" wrapText="1"/>
    </xf>
    <xf numFmtId="3" fontId="44" fillId="4" borderId="41" xfId="0" applyNumberFormat="1" applyFont="1" applyFill="1" applyBorder="1" applyAlignment="1">
      <alignment horizontal="center" vertical="center" wrapText="1"/>
    </xf>
    <xf numFmtId="0" fontId="16" fillId="0" borderId="4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28" fillId="3" borderId="43" xfId="0" applyFont="1" applyFill="1" applyBorder="1" applyAlignment="1">
      <alignment vertical="center" wrapText="1"/>
    </xf>
    <xf numFmtId="3" fontId="44" fillId="3" borderId="18" xfId="0" applyNumberFormat="1" applyFont="1" applyFill="1" applyBorder="1" applyAlignment="1">
      <alignment horizontal="center" vertical="center" wrapText="1"/>
    </xf>
    <xf numFmtId="3" fontId="44" fillId="4" borderId="43"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30" xfId="0" applyFont="1" applyFill="1" applyBorder="1"/>
    <xf numFmtId="0" fontId="3" fillId="5" borderId="11" xfId="0" applyFont="1" applyFill="1" applyBorder="1"/>
    <xf numFmtId="0" fontId="3" fillId="6" borderId="13" xfId="0" applyFont="1" applyFill="1" applyBorder="1" applyAlignment="1">
      <alignment horizontal="left"/>
    </xf>
    <xf numFmtId="3" fontId="45" fillId="6" borderId="11" xfId="0" applyNumberFormat="1" applyFont="1" applyFill="1" applyBorder="1" applyAlignment="1">
      <alignment horizontal="right"/>
    </xf>
    <xf numFmtId="3" fontId="3" fillId="0" borderId="0" xfId="0" applyNumberFormat="1" applyFont="1" applyFill="1" applyBorder="1"/>
    <xf numFmtId="49" fontId="3" fillId="2" borderId="40"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9" xfId="0" applyFont="1" applyFill="1" applyBorder="1"/>
    <xf numFmtId="0" fontId="5" fillId="2" borderId="15" xfId="0" applyFont="1" applyFill="1" applyBorder="1" applyAlignment="1">
      <alignment horizontal="right"/>
    </xf>
    <xf numFmtId="0" fontId="5" fillId="3" borderId="44" xfId="0" applyFont="1" applyFill="1" applyBorder="1" applyAlignment="1">
      <alignment horizontal="left"/>
    </xf>
    <xf numFmtId="49" fontId="3" fillId="2" borderId="3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4" xfId="0" applyFont="1" applyBorder="1"/>
    <xf numFmtId="0" fontId="5" fillId="0" borderId="16" xfId="0" applyFont="1" applyBorder="1" applyAlignment="1">
      <alignment horizontal="right"/>
    </xf>
    <xf numFmtId="0" fontId="5" fillId="3" borderId="45" xfId="0" applyFont="1" applyFill="1" applyBorder="1" applyAlignment="1">
      <alignment horizontal="left"/>
    </xf>
    <xf numFmtId="3" fontId="46" fillId="3" borderId="16" xfId="0" applyNumberFormat="1" applyFont="1" applyFill="1" applyBorder="1" applyAlignment="1">
      <alignment horizontal="left"/>
    </xf>
    <xf numFmtId="3" fontId="16" fillId="0" borderId="0" xfId="0" applyNumberFormat="1" applyFont="1" applyFill="1" applyBorder="1"/>
    <xf numFmtId="0" fontId="19" fillId="0" borderId="3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7" xfId="0" applyFont="1" applyBorder="1"/>
    <xf numFmtId="0" fontId="5" fillId="0" borderId="18" xfId="0" applyFont="1" applyBorder="1" applyAlignment="1">
      <alignment horizontal="right"/>
    </xf>
    <xf numFmtId="0" fontId="5" fillId="3" borderId="46" xfId="0" applyFont="1" applyFill="1" applyBorder="1" applyAlignment="1">
      <alignment horizontal="left"/>
    </xf>
    <xf numFmtId="3" fontId="46" fillId="3" borderId="18" xfId="0" applyNumberFormat="1" applyFont="1" applyFill="1" applyBorder="1" applyAlignment="1">
      <alignment horizontal="left"/>
    </xf>
    <xf numFmtId="0" fontId="19" fillId="0" borderId="4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9" xfId="0" applyFont="1" applyBorder="1"/>
    <xf numFmtId="0" fontId="5" fillId="0" borderId="15" xfId="0" applyFont="1" applyBorder="1"/>
    <xf numFmtId="3" fontId="47" fillId="3" borderId="15" xfId="0" applyNumberFormat="1" applyFont="1" applyFill="1" applyBorder="1" applyAlignment="1">
      <alignment horizontal="center"/>
    </xf>
    <xf numFmtId="0" fontId="5" fillId="0" borderId="18" xfId="0" applyFont="1" applyBorder="1"/>
    <xf numFmtId="3" fontId="47" fillId="3" borderId="18" xfId="0" applyNumberFormat="1" applyFont="1" applyFill="1" applyBorder="1" applyAlignment="1">
      <alignment horizontal="center"/>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6" fillId="5" borderId="30" xfId="0" applyFont="1" applyFill="1" applyBorder="1"/>
    <xf numFmtId="0" fontId="1" fillId="5" borderId="11" xfId="0" applyFont="1" applyFill="1" applyBorder="1"/>
    <xf numFmtId="0" fontId="16" fillId="6" borderId="13" xfId="0" applyFont="1" applyFill="1" applyBorder="1" applyAlignment="1">
      <alignment horizontal="left"/>
    </xf>
    <xf numFmtId="3" fontId="48" fillId="6" borderId="11" xfId="0" applyNumberFormat="1" applyFont="1" applyFill="1" applyBorder="1" applyAlignment="1">
      <alignment horizontal="right"/>
    </xf>
    <xf numFmtId="0" fontId="1" fillId="0" borderId="0" xfId="0" applyFont="1" applyFill="1" applyBorder="1"/>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47" xfId="0" applyBorder="1"/>
    <xf numFmtId="0" fontId="49" fillId="0" borderId="11" xfId="0" applyFont="1" applyBorder="1" applyAlignment="1">
      <alignment horizontal="right"/>
    </xf>
    <xf numFmtId="0" fontId="49" fillId="0" borderId="13" xfId="0" applyFont="1" applyBorder="1"/>
    <xf numFmtId="3" fontId="50" fillId="0" borderId="11" xfId="0" applyNumberFormat="1" applyFont="1" applyBorder="1" applyAlignment="1">
      <alignment horizontal="right"/>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xf numFmtId="0" fontId="51" fillId="0" borderId="34" xfId="0" applyFont="1" applyBorder="1" applyAlignment="1">
      <alignment horizontal="right"/>
    </xf>
    <xf numFmtId="0" fontId="51" fillId="0" borderId="28" xfId="0" applyFont="1" applyBorder="1"/>
    <xf numFmtId="3" fontId="50" fillId="0" borderId="34" xfId="0" applyNumberFormat="1" applyFont="1" applyBorder="1"/>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xf numFmtId="0" fontId="51" fillId="0" borderId="51" xfId="0" applyFont="1" applyBorder="1" applyAlignment="1">
      <alignment horizontal="right"/>
    </xf>
    <xf numFmtId="0" fontId="51" fillId="0" borderId="52" xfId="0" applyFont="1" applyBorder="1"/>
    <xf numFmtId="3" fontId="50" fillId="0" borderId="51" xfId="0" applyNumberFormat="1" applyFont="1" applyBorder="1"/>
    <xf numFmtId="3" fontId="50" fillId="4" borderId="51" xfId="0" applyNumberFormat="1" applyFont="1" applyFill="1" applyBorder="1"/>
    <xf numFmtId="0" fontId="0" fillId="0" borderId="31" xfId="0" applyBorder="1" applyAlignment="1">
      <alignment horizontal="center" vertical="center" wrapText="1"/>
    </xf>
    <xf numFmtId="0" fontId="0" fillId="0" borderId="1" xfId="0" applyBorder="1" applyAlignment="1">
      <alignment horizontal="center" vertical="center" wrapText="1"/>
    </xf>
    <xf numFmtId="0" fontId="51" fillId="0" borderId="16" xfId="0" applyFont="1" applyBorder="1" applyAlignment="1">
      <alignment horizontal="right"/>
    </xf>
    <xf numFmtId="0" fontId="51" fillId="0" borderId="45" xfId="0" applyFont="1" applyBorder="1"/>
    <xf numFmtId="3" fontId="50" fillId="0" borderId="16" xfId="0" applyNumberFormat="1" applyFont="1" applyBorder="1"/>
    <xf numFmtId="3" fontId="50" fillId="4" borderId="16" xfId="0" applyNumberFormat="1" applyFont="1" applyFill="1" applyBorder="1"/>
    <xf numFmtId="0" fontId="0" fillId="0" borderId="42" xfId="0" applyBorder="1" applyAlignment="1">
      <alignment horizontal="center" vertical="center" wrapText="1"/>
    </xf>
    <xf numFmtId="0" fontId="0" fillId="0" borderId="8" xfId="0" applyBorder="1" applyAlignment="1">
      <alignment horizontal="center" vertical="center" wrapText="1"/>
    </xf>
    <xf numFmtId="0" fontId="51" fillId="0" borderId="18" xfId="0" applyFont="1" applyBorder="1" applyAlignment="1">
      <alignment horizontal="right"/>
    </xf>
    <xf numFmtId="0" fontId="51" fillId="0" borderId="46" xfId="0" applyFont="1" applyBorder="1"/>
    <xf numFmtId="3" fontId="50" fillId="0" borderId="18" xfId="0" applyNumberFormat="1" applyFont="1" applyBorder="1"/>
    <xf numFmtId="3" fontId="50" fillId="4" borderId="18" xfId="0" applyNumberFormat="1" applyFont="1" applyFill="1" applyBorder="1"/>
    <xf numFmtId="3" fontId="45" fillId="0" borderId="11" xfId="0" applyNumberFormat="1" applyFont="1" applyBorder="1"/>
    <xf numFmtId="0" fontId="0" fillId="0" borderId="40" xfId="0" applyBorder="1" applyAlignment="1">
      <alignment horizontal="center" vertical="center" wrapText="1"/>
    </xf>
    <xf numFmtId="0" fontId="0" fillId="0" borderId="10" xfId="0" applyBorder="1" applyAlignment="1">
      <alignment horizontal="center" vertical="center" wrapText="1"/>
    </xf>
    <xf numFmtId="0" fontId="0" fillId="0" borderId="9" xfId="0" applyBorder="1"/>
    <xf numFmtId="0" fontId="51" fillId="0" borderId="15" xfId="0" applyFont="1" applyFill="1" applyBorder="1" applyAlignment="1">
      <alignment horizontal="right"/>
    </xf>
    <xf numFmtId="0" fontId="5" fillId="0" borderId="44" xfId="0" applyFont="1" applyBorder="1"/>
    <xf numFmtId="3" fontId="50" fillId="0" borderId="15" xfId="0" applyNumberFormat="1" applyFont="1" applyBorder="1"/>
    <xf numFmtId="0" fontId="51" fillId="0" borderId="16" xfId="0" applyFont="1" applyFill="1" applyBorder="1" applyAlignment="1">
      <alignment horizontal="right"/>
    </xf>
    <xf numFmtId="0" fontId="5" fillId="0" borderId="45" xfId="0" applyFont="1" applyBorder="1"/>
    <xf numFmtId="0" fontId="51" fillId="0" borderId="15" xfId="0" applyFont="1" applyBorder="1" applyAlignment="1">
      <alignment horizontal="right"/>
    </xf>
    <xf numFmtId="0" fontId="51" fillId="0" borderId="44" xfId="0" applyFont="1" applyBorder="1"/>
    <xf numFmtId="3" fontId="50" fillId="4" borderId="15" xfId="0" applyNumberFormat="1" applyFont="1" applyFill="1" applyBorder="1"/>
    <xf numFmtId="0" fontId="51" fillId="0" borderId="45" xfId="0" applyFont="1" applyBorder="1" applyAlignment="1">
      <alignment horizontal="right"/>
    </xf>
    <xf numFmtId="3" fontId="45" fillId="0" borderId="15" xfId="0" applyNumberFormat="1" applyFont="1" applyBorder="1"/>
    <xf numFmtId="3" fontId="45" fillId="0" borderId="16" xfId="0" applyNumberFormat="1" applyFont="1" applyBorder="1"/>
    <xf numFmtId="3" fontId="45" fillId="4" borderId="16" xfId="0" applyNumberFormat="1" applyFont="1" applyFill="1" applyBorder="1"/>
    <xf numFmtId="0" fontId="0" fillId="0" borderId="32" xfId="0" applyBorder="1" applyAlignment="1">
      <alignment horizontal="center" vertical="center" wrapText="1"/>
    </xf>
    <xf numFmtId="0" fontId="0" fillId="0" borderId="3" xfId="0" applyBorder="1" applyAlignment="1">
      <alignment horizontal="center" vertical="center" wrapText="1"/>
    </xf>
    <xf numFmtId="0" fontId="0" fillId="0" borderId="53" xfId="0" applyBorder="1"/>
    <xf numFmtId="0" fontId="51" fillId="0" borderId="54" xfId="0" applyFont="1" applyBorder="1" applyAlignment="1">
      <alignment horizontal="right"/>
    </xf>
    <xf numFmtId="0" fontId="51" fillId="0" borderId="55" xfId="0" applyFont="1" applyBorder="1"/>
    <xf numFmtId="3" fontId="45" fillId="0" borderId="54" xfId="0" applyNumberFormat="1" applyFont="1" applyBorder="1"/>
    <xf numFmtId="3" fontId="45" fillId="0" borderId="51" xfId="0" applyNumberFormat="1" applyFont="1" applyBorder="1"/>
    <xf numFmtId="3" fontId="45" fillId="0" borderId="18" xfId="0" applyNumberFormat="1" applyFont="1" applyBorder="1"/>
    <xf numFmtId="3" fontId="45" fillId="4" borderId="18" xfId="0" applyNumberFormat="1" applyFont="1" applyFill="1" applyBorder="1"/>
    <xf numFmtId="3" fontId="45" fillId="4" borderId="11" xfId="0" applyNumberFormat="1" applyFont="1" applyFill="1" applyBorder="1"/>
    <xf numFmtId="0" fontId="49" fillId="4" borderId="11" xfId="0" applyFont="1" applyFill="1" applyBorder="1" applyAlignment="1">
      <alignment horizontal="right"/>
    </xf>
    <xf numFmtId="3" fontId="50" fillId="4" borderId="54" xfId="0" applyNumberFormat="1" applyFont="1" applyFill="1" applyBorder="1"/>
    <xf numFmtId="0" fontId="52" fillId="4" borderId="0" xfId="0" applyFont="1" applyFill="1" applyBorder="1"/>
    <xf numFmtId="3" fontId="53" fillId="4" borderId="0" xfId="0" applyNumberFormat="1" applyFont="1" applyFill="1" applyBorder="1"/>
    <xf numFmtId="3" fontId="0" fillId="2" borderId="0" xfId="0" applyNumberFormat="1" applyFill="1" applyBorder="1"/>
    <xf numFmtId="3" fontId="53" fillId="2" borderId="0" xfId="0" applyNumberFormat="1" applyFont="1" applyFill="1" applyBorder="1"/>
    <xf numFmtId="0" fontId="3" fillId="2" borderId="0" xfId="0" applyFont="1" applyFill="1" applyBorder="1"/>
    <xf numFmtId="3" fontId="40" fillId="4" borderId="0" xfId="0" applyNumberFormat="1" applyFont="1" applyFill="1" applyBorder="1" applyAlignment="1">
      <alignment horizontal="left"/>
    </xf>
    <xf numFmtId="0" fontId="0" fillId="0" borderId="19" xfId="0" applyBorder="1"/>
    <xf numFmtId="0" fontId="0" fillId="2" borderId="20" xfId="0" applyFill="1" applyBorder="1"/>
    <xf numFmtId="0" fontId="5" fillId="2" borderId="20" xfId="0" applyFont="1" applyFill="1" applyBorder="1"/>
    <xf numFmtId="3" fontId="53" fillId="4" borderId="11" xfId="0" applyNumberFormat="1" applyFont="1" applyFill="1" applyBorder="1"/>
    <xf numFmtId="0" fontId="0" fillId="2" borderId="47" xfId="0" applyFill="1" applyBorder="1"/>
    <xf numFmtId="0" fontId="0" fillId="2" borderId="11" xfId="0" applyFill="1" applyBorder="1"/>
    <xf numFmtId="0" fontId="56" fillId="4" borderId="30" xfId="0" applyFont="1" applyFill="1" applyBorder="1"/>
    <xf numFmtId="0" fontId="40" fillId="2" borderId="0" xfId="0" applyFont="1" applyFill="1" applyAlignment="1">
      <alignment horizontal="center"/>
    </xf>
    <xf numFmtId="0" fontId="6" fillId="2" borderId="0" xfId="0" applyFont="1" applyFill="1" applyBorder="1" applyAlignment="1">
      <alignment horizontal="center" vertical="center" wrapText="1"/>
    </xf>
    <xf numFmtId="0" fontId="16" fillId="2" borderId="0" xfId="0" applyFont="1" applyFill="1" applyBorder="1" applyAlignment="1">
      <alignment horizontal="left"/>
    </xf>
    <xf numFmtId="0" fontId="3" fillId="2" borderId="0" xfId="0" applyFont="1" applyFill="1" applyBorder="1" applyAlignment="1">
      <alignment horizontal="left"/>
    </xf>
    <xf numFmtId="0" fontId="16" fillId="2" borderId="0" xfId="0" applyFont="1" applyFill="1" applyBorder="1"/>
    <xf numFmtId="0" fontId="1" fillId="2" borderId="0" xfId="0" applyFont="1" applyFill="1" applyBorder="1"/>
    <xf numFmtId="3" fontId="3" fillId="2" borderId="0" xfId="0" applyNumberFormat="1" applyFont="1" applyFill="1" applyBorder="1"/>
    <xf numFmtId="3" fontId="0" fillId="2" borderId="41" xfId="0" applyNumberFormat="1" applyFill="1" applyBorder="1"/>
    <xf numFmtId="3" fontId="0" fillId="2" borderId="29" xfId="0" applyNumberFormat="1" applyFill="1" applyBorder="1"/>
    <xf numFmtId="3" fontId="3" fillId="0" borderId="0" xfId="0" applyNumberFormat="1" applyFont="1"/>
    <xf numFmtId="3" fontId="35" fillId="0" borderId="0" xfId="0" applyNumberFormat="1" applyFont="1" applyBorder="1" applyAlignment="1">
      <alignment horizontal="center"/>
    </xf>
    <xf numFmtId="0" fontId="35" fillId="0" borderId="0" xfId="0" applyFont="1" applyBorder="1"/>
    <xf numFmtId="3" fontId="35" fillId="0" borderId="0" xfId="0" applyNumberFormat="1" applyFont="1" applyBorder="1"/>
    <xf numFmtId="0" fontId="33" fillId="2" borderId="0" xfId="0" applyFont="1" applyFill="1" applyBorder="1"/>
    <xf numFmtId="0" fontId="33" fillId="0" borderId="0" xfId="0" applyFont="1" applyFill="1" applyBorder="1"/>
    <xf numFmtId="3" fontId="29" fillId="0" borderId="0" xfId="0" applyNumberFormat="1" applyFont="1" applyBorder="1"/>
    <xf numFmtId="2" fontId="33" fillId="0" borderId="0" xfId="0" applyNumberFormat="1" applyFont="1" applyBorder="1"/>
    <xf numFmtId="3" fontId="30" fillId="0" borderId="0" xfId="0" applyNumberFormat="1" applyFont="1" applyBorder="1"/>
    <xf numFmtId="3" fontId="35" fillId="2" borderId="0" xfId="0" applyNumberFormat="1" applyFont="1" applyFill="1" applyBorder="1"/>
    <xf numFmtId="3" fontId="32" fillId="0" borderId="0" xfId="0" applyNumberFormat="1" applyFont="1" applyBorder="1"/>
    <xf numFmtId="3" fontId="31" fillId="0" borderId="0" xfId="0" applyNumberFormat="1" applyFont="1"/>
    <xf numFmtId="3" fontId="33" fillId="0" borderId="8" xfId="0" applyNumberFormat="1" applyFont="1" applyBorder="1"/>
    <xf numFmtId="3" fontId="33" fillId="0" borderId="7" xfId="0" applyNumberFormat="1" applyFont="1" applyBorder="1"/>
    <xf numFmtId="3" fontId="61" fillId="0" borderId="0" xfId="0" applyNumberFormat="1" applyFont="1" applyBorder="1"/>
    <xf numFmtId="3" fontId="22" fillId="0" borderId="0" xfId="0" applyNumberFormat="1" applyFont="1" applyBorder="1"/>
    <xf numFmtId="49" fontId="22" fillId="0" borderId="0" xfId="0" applyNumberFormat="1" applyFont="1" applyBorder="1"/>
    <xf numFmtId="3" fontId="34" fillId="0" borderId="0" xfId="0" applyNumberFormat="1" applyFont="1" applyFill="1" applyBorder="1" applyAlignment="1">
      <alignment horizontal="center"/>
    </xf>
    <xf numFmtId="0" fontId="30" fillId="0" borderId="12" xfId="0" applyFont="1" applyBorder="1"/>
    <xf numFmtId="0" fontId="29" fillId="0" borderId="30" xfId="0" applyFont="1" applyBorder="1"/>
    <xf numFmtId="0" fontId="29" fillId="0" borderId="13" xfId="0" applyFont="1" applyBorder="1"/>
    <xf numFmtId="0" fontId="34" fillId="0" borderId="0" xfId="0" applyFont="1" applyFill="1" applyBorder="1"/>
    <xf numFmtId="0" fontId="34" fillId="0" borderId="21" xfId="0" applyFont="1" applyBorder="1"/>
    <xf numFmtId="3" fontId="35" fillId="0" borderId="22" xfId="0" applyNumberFormat="1" applyFont="1" applyBorder="1" applyAlignment="1">
      <alignment horizontal="center"/>
    </xf>
    <xf numFmtId="0" fontId="35" fillId="0" borderId="22" xfId="0" applyFont="1" applyBorder="1"/>
    <xf numFmtId="0" fontId="3" fillId="0" borderId="22" xfId="0" applyFont="1" applyBorder="1"/>
    <xf numFmtId="3" fontId="33" fillId="0" borderId="24" xfId="0" applyNumberFormat="1" applyFont="1" applyFill="1" applyBorder="1" applyAlignment="1">
      <alignment horizontal="center"/>
    </xf>
    <xf numFmtId="0" fontId="34" fillId="0" borderId="25" xfId="0" applyFont="1" applyBorder="1"/>
    <xf numFmtId="0" fontId="34" fillId="0" borderId="25" xfId="0" applyFont="1" applyFill="1" applyBorder="1"/>
    <xf numFmtId="0" fontId="37" fillId="0" borderId="27" xfId="0" applyFont="1" applyBorder="1"/>
    <xf numFmtId="0" fontId="37" fillId="0" borderId="28" xfId="0" applyFont="1" applyBorder="1"/>
    <xf numFmtId="3" fontId="33" fillId="0" borderId="19" xfId="0" applyNumberFormat="1" applyFont="1" applyBorder="1"/>
    <xf numFmtId="3" fontId="34" fillId="0" borderId="11" xfId="0" applyNumberFormat="1" applyFont="1" applyBorder="1"/>
    <xf numFmtId="3" fontId="33" fillId="0" borderId="37" xfId="0" applyNumberFormat="1" applyFont="1" applyBorder="1" applyAlignment="1">
      <alignment horizontal="left"/>
    </xf>
    <xf numFmtId="3" fontId="34" fillId="0" borderId="37" xfId="0" applyNumberFormat="1" applyFont="1" applyBorder="1" applyAlignment="1">
      <alignment horizontal="left"/>
    </xf>
    <xf numFmtId="3" fontId="34" fillId="0" borderId="37" xfId="0" applyNumberFormat="1" applyFont="1" applyBorder="1"/>
    <xf numFmtId="3" fontId="33" fillId="0" borderId="32" xfId="0" applyNumberFormat="1" applyFont="1" applyBorder="1"/>
    <xf numFmtId="3" fontId="60" fillId="0" borderId="7" xfId="0" applyNumberFormat="1" applyFont="1" applyBorder="1"/>
    <xf numFmtId="3" fontId="34" fillId="0" borderId="8" xfId="0" applyNumberFormat="1" applyFont="1" applyBorder="1"/>
    <xf numFmtId="3" fontId="3" fillId="0" borderId="37" xfId="0" applyNumberFormat="1" applyFont="1" applyBorder="1" applyAlignment="1">
      <alignment horizontal="left"/>
    </xf>
    <xf numFmtId="3" fontId="0" fillId="0" borderId="0" xfId="0" applyNumberFormat="1" applyBorder="1"/>
    <xf numFmtId="3" fontId="34" fillId="0" borderId="36" xfId="0" applyNumberFormat="1" applyFont="1" applyBorder="1"/>
    <xf numFmtId="3" fontId="34" fillId="0" borderId="7" xfId="0" applyNumberFormat="1" applyFont="1" applyBorder="1"/>
    <xf numFmtId="3" fontId="21" fillId="0" borderId="0" xfId="0" applyNumberFormat="1" applyFont="1" applyBorder="1"/>
    <xf numFmtId="3" fontId="3" fillId="0" borderId="0" xfId="0" applyNumberFormat="1" applyFont="1" applyBorder="1"/>
    <xf numFmtId="3" fontId="21" fillId="0" borderId="0" xfId="0" applyNumberFormat="1" applyFont="1"/>
    <xf numFmtId="3" fontId="57" fillId="0" borderId="11" xfId="0" applyNumberFormat="1" applyFont="1" applyBorder="1" applyAlignment="1">
      <alignment horizontal="right"/>
    </xf>
    <xf numFmtId="0" fontId="30" fillId="0" borderId="30" xfId="0" applyFont="1" applyBorder="1"/>
    <xf numFmtId="3" fontId="62" fillId="0" borderId="0" xfId="0" applyNumberFormat="1" applyFont="1" applyBorder="1"/>
    <xf numFmtId="3" fontId="21" fillId="0" borderId="1" xfId="0" applyNumberFormat="1" applyFont="1" applyBorder="1"/>
    <xf numFmtId="0" fontId="54" fillId="2" borderId="0" xfId="0" applyFont="1" applyFill="1" applyBorder="1" applyAlignment="1">
      <alignment vertical="center" wrapText="1"/>
    </xf>
    <xf numFmtId="49" fontId="41" fillId="2" borderId="0" xfId="0" applyNumberFormat="1" applyFont="1" applyFill="1" applyBorder="1" applyAlignment="1">
      <alignment horizontal="right"/>
    </xf>
    <xf numFmtId="49" fontId="42" fillId="2" borderId="0" xfId="0" applyNumberFormat="1" applyFont="1" applyFill="1" applyBorder="1" applyAlignment="1">
      <alignment horizontal="right"/>
    </xf>
    <xf numFmtId="0" fontId="0" fillId="2" borderId="0" xfId="0" applyFill="1" applyAlignment="1">
      <alignment horizontal="right"/>
    </xf>
    <xf numFmtId="0" fontId="43" fillId="2" borderId="0" xfId="0" applyFont="1" applyFill="1" applyAlignment="1">
      <alignment horizontal="right"/>
    </xf>
    <xf numFmtId="0" fontId="10" fillId="2" borderId="0" xfId="0" applyFont="1" applyFill="1" applyAlignment="1">
      <alignment horizontal="right" vertical="center" wrapText="1"/>
    </xf>
    <xf numFmtId="0" fontId="19" fillId="2" borderId="0" xfId="0" applyFont="1" applyFill="1" applyBorder="1" applyAlignment="1">
      <alignment horizontal="right" vertical="center" wrapText="1"/>
    </xf>
    <xf numFmtId="0" fontId="44" fillId="3" borderId="11" xfId="0" applyFont="1" applyFill="1" applyBorder="1" applyAlignment="1">
      <alignment horizontal="right" vertical="center" textRotation="90" wrapText="1"/>
    </xf>
    <xf numFmtId="0" fontId="44" fillId="3" borderId="11" xfId="0" applyFont="1" applyFill="1" applyBorder="1" applyAlignment="1">
      <alignment horizontal="right" vertical="center" wrapText="1"/>
    </xf>
    <xf numFmtId="3" fontId="44" fillId="3" borderId="15" xfId="0" applyNumberFormat="1" applyFont="1" applyFill="1" applyBorder="1" applyAlignment="1">
      <alignment horizontal="right" vertical="center" wrapText="1"/>
    </xf>
    <xf numFmtId="3" fontId="44" fillId="3" borderId="16" xfId="0" applyNumberFormat="1" applyFont="1" applyFill="1" applyBorder="1" applyAlignment="1">
      <alignment horizontal="right" vertical="center" wrapText="1"/>
    </xf>
    <xf numFmtId="3" fontId="44" fillId="3" borderId="18" xfId="0" applyNumberFormat="1" applyFont="1" applyFill="1" applyBorder="1" applyAlignment="1">
      <alignment horizontal="right" vertical="center" wrapText="1"/>
    </xf>
    <xf numFmtId="3" fontId="50" fillId="3" borderId="15" xfId="0" applyNumberFormat="1" applyFont="1" applyFill="1" applyBorder="1" applyAlignment="1">
      <alignment horizontal="right"/>
    </xf>
    <xf numFmtId="3" fontId="50" fillId="3" borderId="16" xfId="0" applyNumberFormat="1" applyFont="1" applyFill="1" applyBorder="1" applyAlignment="1">
      <alignment horizontal="right"/>
    </xf>
    <xf numFmtId="3" fontId="46" fillId="3" borderId="16" xfId="0" applyNumberFormat="1" applyFont="1" applyFill="1" applyBorder="1" applyAlignment="1">
      <alignment horizontal="right"/>
    </xf>
    <xf numFmtId="3" fontId="46" fillId="3" borderId="18" xfId="0" applyNumberFormat="1" applyFont="1" applyFill="1" applyBorder="1" applyAlignment="1">
      <alignment horizontal="right"/>
    </xf>
    <xf numFmtId="3" fontId="50" fillId="3" borderId="18" xfId="0" applyNumberFormat="1" applyFont="1" applyFill="1" applyBorder="1" applyAlignment="1">
      <alignment horizontal="right"/>
    </xf>
    <xf numFmtId="3" fontId="50" fillId="0" borderId="34" xfId="0" applyNumberFormat="1" applyFont="1" applyBorder="1" applyAlignment="1">
      <alignment horizontal="right"/>
    </xf>
    <xf numFmtId="3" fontId="50" fillId="0" borderId="51" xfId="0" applyNumberFormat="1" applyFont="1" applyBorder="1" applyAlignment="1">
      <alignment horizontal="right"/>
    </xf>
    <xf numFmtId="3" fontId="50" fillId="0" borderId="16" xfId="0" applyNumberFormat="1" applyFont="1" applyBorder="1" applyAlignment="1">
      <alignment horizontal="right"/>
    </xf>
    <xf numFmtId="3" fontId="50" fillId="0" borderId="18" xfId="0" applyNumberFormat="1" applyFont="1" applyBorder="1" applyAlignment="1">
      <alignment horizontal="right"/>
    </xf>
    <xf numFmtId="3" fontId="45" fillId="0" borderId="11" xfId="0" applyNumberFormat="1" applyFont="1" applyBorder="1" applyAlignment="1">
      <alignment horizontal="right"/>
    </xf>
    <xf numFmtId="3" fontId="50" fillId="0" borderId="15" xfId="0" applyNumberFormat="1" applyFont="1" applyBorder="1" applyAlignment="1">
      <alignment horizontal="right"/>
    </xf>
    <xf numFmtId="3" fontId="50" fillId="4" borderId="16" xfId="0" applyNumberFormat="1" applyFont="1" applyFill="1" applyBorder="1" applyAlignment="1">
      <alignment horizontal="right"/>
    </xf>
    <xf numFmtId="3" fontId="50" fillId="4" borderId="54" xfId="0" applyNumberFormat="1" applyFont="1" applyFill="1" applyBorder="1" applyAlignment="1">
      <alignment horizontal="right"/>
    </xf>
    <xf numFmtId="3" fontId="59" fillId="0" borderId="11" xfId="0" applyNumberFormat="1" applyFont="1" applyBorder="1" applyAlignment="1">
      <alignment horizontal="right"/>
    </xf>
    <xf numFmtId="3" fontId="50" fillId="4" borderId="15" xfId="0" applyNumberFormat="1" applyFont="1" applyFill="1" applyBorder="1" applyAlignment="1">
      <alignment horizontal="right"/>
    </xf>
    <xf numFmtId="3" fontId="45" fillId="4" borderId="16" xfId="0" applyNumberFormat="1" applyFont="1" applyFill="1" applyBorder="1" applyAlignment="1">
      <alignment horizontal="right"/>
    </xf>
    <xf numFmtId="3" fontId="55" fillId="4" borderId="16" xfId="0" applyNumberFormat="1" applyFont="1" applyFill="1" applyBorder="1" applyAlignment="1">
      <alignment horizontal="right"/>
    </xf>
    <xf numFmtId="3" fontId="50" fillId="4" borderId="18" xfId="0" applyNumberFormat="1" applyFont="1" applyFill="1" applyBorder="1" applyAlignment="1">
      <alignment horizontal="right"/>
    </xf>
    <xf numFmtId="3" fontId="45" fillId="0" borderId="15" xfId="0" applyNumberFormat="1" applyFont="1" applyBorder="1" applyAlignment="1">
      <alignment horizontal="right"/>
    </xf>
    <xf numFmtId="3" fontId="45" fillId="0" borderId="16" xfId="0" applyNumberFormat="1" applyFont="1" applyBorder="1" applyAlignment="1">
      <alignment horizontal="right"/>
    </xf>
    <xf numFmtId="3" fontId="45" fillId="0" borderId="54" xfId="0" applyNumberFormat="1" applyFont="1" applyBorder="1" applyAlignment="1">
      <alignment horizontal="right"/>
    </xf>
    <xf numFmtId="3" fontId="45" fillId="0" borderId="51" xfId="0" applyNumberFormat="1" applyFont="1" applyBorder="1" applyAlignment="1">
      <alignment horizontal="right"/>
    </xf>
    <xf numFmtId="3" fontId="45" fillId="4" borderId="11" xfId="0" applyNumberFormat="1" applyFont="1" applyFill="1" applyBorder="1" applyAlignment="1">
      <alignment horizontal="right"/>
    </xf>
    <xf numFmtId="3" fontId="45" fillId="0" borderId="18" xfId="0" applyNumberFormat="1" applyFont="1" applyBorder="1" applyAlignment="1">
      <alignment horizontal="right"/>
    </xf>
    <xf numFmtId="3" fontId="50" fillId="4" borderId="51" xfId="0" applyNumberFormat="1" applyFont="1" applyFill="1" applyBorder="1" applyAlignment="1">
      <alignment horizontal="right"/>
    </xf>
    <xf numFmtId="3" fontId="53" fillId="4" borderId="0" xfId="0" applyNumberFormat="1" applyFont="1" applyFill="1" applyBorder="1" applyAlignment="1">
      <alignment horizontal="right"/>
    </xf>
    <xf numFmtId="3" fontId="0" fillId="2" borderId="0" xfId="0" applyNumberFormat="1" applyFill="1" applyBorder="1" applyAlignment="1">
      <alignment horizontal="right"/>
    </xf>
    <xf numFmtId="3" fontId="53" fillId="2" borderId="0" xfId="0" applyNumberFormat="1" applyFont="1" applyFill="1" applyBorder="1" applyAlignment="1">
      <alignment horizontal="right"/>
    </xf>
    <xf numFmtId="3" fontId="63" fillId="6" borderId="11" xfId="0" applyNumberFormat="1" applyFont="1" applyFill="1" applyBorder="1" applyAlignment="1">
      <alignment horizontal="right"/>
    </xf>
    <xf numFmtId="3" fontId="64" fillId="4" borderId="16" xfId="0" applyNumberFormat="1" applyFont="1" applyFill="1" applyBorder="1" applyAlignment="1">
      <alignment horizontal="left"/>
    </xf>
    <xf numFmtId="3" fontId="64" fillId="4" borderId="18" xfId="0" applyNumberFormat="1" applyFont="1" applyFill="1" applyBorder="1" applyAlignment="1">
      <alignment horizontal="left"/>
    </xf>
    <xf numFmtId="3" fontId="65" fillId="4" borderId="15" xfId="0" applyNumberFormat="1" applyFont="1" applyFill="1" applyBorder="1" applyAlignment="1">
      <alignment horizontal="center"/>
    </xf>
    <xf numFmtId="3" fontId="65" fillId="4" borderId="18" xfId="0" applyNumberFormat="1" applyFont="1" applyFill="1" applyBorder="1" applyAlignment="1">
      <alignment horizontal="center"/>
    </xf>
    <xf numFmtId="3" fontId="66" fillId="0" borderId="11" xfId="0" applyNumberFormat="1" applyFont="1" applyBorder="1" applyAlignment="1">
      <alignment horizontal="right"/>
    </xf>
    <xf numFmtId="3" fontId="66" fillId="4" borderId="34" xfId="0" applyNumberFormat="1" applyFont="1" applyFill="1" applyBorder="1"/>
    <xf numFmtId="3" fontId="66" fillId="4" borderId="51" xfId="0" applyNumberFormat="1" applyFont="1" applyFill="1" applyBorder="1"/>
    <xf numFmtId="3" fontId="66" fillId="4" borderId="16" xfId="0" applyNumberFormat="1" applyFont="1" applyFill="1" applyBorder="1"/>
    <xf numFmtId="3" fontId="66" fillId="4" borderId="18" xfId="0" applyNumberFormat="1" applyFont="1" applyFill="1" applyBorder="1"/>
    <xf numFmtId="3" fontId="63" fillId="0" borderId="11" xfId="0" applyNumberFormat="1" applyFont="1" applyBorder="1"/>
    <xf numFmtId="3" fontId="66" fillId="0" borderId="15" xfId="0" applyNumberFormat="1" applyFont="1" applyBorder="1"/>
    <xf numFmtId="3" fontId="66" fillId="0" borderId="16" xfId="0" applyNumberFormat="1" applyFont="1" applyBorder="1"/>
    <xf numFmtId="3" fontId="66" fillId="4" borderId="54" xfId="0" applyNumberFormat="1" applyFont="1" applyFill="1" applyBorder="1"/>
    <xf numFmtId="3" fontId="66" fillId="4" borderId="15" xfId="0" applyNumberFormat="1" applyFont="1" applyFill="1" applyBorder="1"/>
    <xf numFmtId="3" fontId="63" fillId="4" borderId="15" xfId="0" applyNumberFormat="1" applyFont="1" applyFill="1" applyBorder="1"/>
    <xf numFmtId="3" fontId="63" fillId="4" borderId="16" xfId="0" applyNumberFormat="1" applyFont="1" applyFill="1" applyBorder="1"/>
    <xf numFmtId="3" fontId="63" fillId="4" borderId="54" xfId="0" applyNumberFormat="1" applyFont="1" applyFill="1" applyBorder="1"/>
    <xf numFmtId="3" fontId="63" fillId="4" borderId="51" xfId="0" applyNumberFormat="1" applyFont="1" applyFill="1" applyBorder="1"/>
    <xf numFmtId="3" fontId="63" fillId="4" borderId="18" xfId="0" applyNumberFormat="1" applyFont="1" applyFill="1" applyBorder="1"/>
    <xf numFmtId="3" fontId="63" fillId="4" borderId="11" xfId="0" applyNumberFormat="1" applyFont="1" applyFill="1" applyBorder="1"/>
    <xf numFmtId="0" fontId="27" fillId="0" borderId="0" xfId="0" applyFont="1" applyFill="1" applyBorder="1"/>
    <xf numFmtId="0" fontId="67" fillId="0" borderId="0" xfId="0" applyFont="1" applyFill="1" applyBorder="1"/>
    <xf numFmtId="0" fontId="28" fillId="0" borderId="31" xfId="0" applyFont="1" applyBorder="1"/>
    <xf numFmtId="0" fontId="58" fillId="0" borderId="1" xfId="0" applyFont="1" applyBorder="1"/>
    <xf numFmtId="0" fontId="3" fillId="2" borderId="1" xfId="0" applyFont="1" applyFill="1" applyBorder="1"/>
    <xf numFmtId="49" fontId="68" fillId="2" borderId="11" xfId="0" applyNumberFormat="1" applyFont="1" applyFill="1" applyBorder="1" applyAlignment="1">
      <alignment horizontal="center" vertical="center" wrapText="1"/>
    </xf>
    <xf numFmtId="0" fontId="34" fillId="0" borderId="22" xfId="0" applyFont="1" applyBorder="1"/>
    <xf numFmtId="0" fontId="34" fillId="0" borderId="24" xfId="0" applyFont="1" applyBorder="1"/>
    <xf numFmtId="0" fontId="33" fillId="0" borderId="26" xfId="0" applyFont="1" applyBorder="1"/>
    <xf numFmtId="0" fontId="33" fillId="0" borderId="27" xfId="0" applyFont="1" applyBorder="1"/>
    <xf numFmtId="3" fontId="50" fillId="3" borderId="15" xfId="0" applyNumberFormat="1" applyFont="1" applyFill="1" applyBorder="1" applyAlignment="1">
      <alignment horizontal="left"/>
    </xf>
    <xf numFmtId="3" fontId="50" fillId="4" borderId="56" xfId="0" applyNumberFormat="1" applyFont="1" applyFill="1" applyBorder="1" applyAlignment="1">
      <alignment horizontal="right"/>
    </xf>
    <xf numFmtId="0" fontId="44" fillId="3" borderId="12" xfId="0" applyFont="1" applyFill="1" applyBorder="1" applyAlignment="1">
      <alignment horizontal="right" vertical="center" textRotation="90" wrapText="1"/>
    </xf>
    <xf numFmtId="0" fontId="44" fillId="3" borderId="12" xfId="0" applyFont="1" applyFill="1" applyBorder="1" applyAlignment="1">
      <alignment horizontal="right" vertical="center" wrapText="1"/>
    </xf>
    <xf numFmtId="3" fontId="44" fillId="3" borderId="56" xfId="0" applyNumberFormat="1" applyFont="1" applyFill="1" applyBorder="1" applyAlignment="1">
      <alignment horizontal="right" vertical="center" wrapText="1"/>
    </xf>
    <xf numFmtId="3" fontId="44" fillId="3" borderId="57" xfId="0" applyNumberFormat="1" applyFont="1" applyFill="1" applyBorder="1" applyAlignment="1">
      <alignment horizontal="right" vertical="center" wrapText="1"/>
    </xf>
    <xf numFmtId="3" fontId="44" fillId="3" borderId="58" xfId="0" applyNumberFormat="1" applyFont="1" applyFill="1" applyBorder="1" applyAlignment="1">
      <alignment horizontal="right" vertical="center" wrapText="1"/>
    </xf>
    <xf numFmtId="3" fontId="45" fillId="6" borderId="12" xfId="0" applyNumberFormat="1" applyFont="1" applyFill="1" applyBorder="1" applyAlignment="1">
      <alignment horizontal="right"/>
    </xf>
    <xf numFmtId="3" fontId="50" fillId="3" borderId="56" xfId="0" applyNumberFormat="1" applyFont="1" applyFill="1" applyBorder="1" applyAlignment="1">
      <alignment horizontal="right"/>
    </xf>
    <xf numFmtId="3" fontId="50" fillId="3" borderId="57" xfId="0" applyNumberFormat="1" applyFont="1" applyFill="1" applyBorder="1" applyAlignment="1">
      <alignment horizontal="right"/>
    </xf>
    <xf numFmtId="3" fontId="46" fillId="3" borderId="57" xfId="0" applyNumberFormat="1" applyFont="1" applyFill="1" applyBorder="1" applyAlignment="1">
      <alignment horizontal="right"/>
    </xf>
    <xf numFmtId="3" fontId="46" fillId="3" borderId="58" xfId="0" applyNumberFormat="1" applyFont="1" applyFill="1" applyBorder="1" applyAlignment="1">
      <alignment horizontal="right"/>
    </xf>
    <xf numFmtId="3" fontId="50" fillId="3" borderId="58" xfId="0" applyNumberFormat="1" applyFont="1" applyFill="1" applyBorder="1" applyAlignment="1">
      <alignment horizontal="right"/>
    </xf>
    <xf numFmtId="3" fontId="48" fillId="6" borderId="12" xfId="0" applyNumberFormat="1" applyFont="1" applyFill="1" applyBorder="1" applyAlignment="1">
      <alignment horizontal="right"/>
    </xf>
    <xf numFmtId="3" fontId="57" fillId="0" borderId="12" xfId="0" applyNumberFormat="1" applyFont="1" applyBorder="1" applyAlignment="1">
      <alignment horizontal="right"/>
    </xf>
    <xf numFmtId="3" fontId="50" fillId="0" borderId="26" xfId="0" applyNumberFormat="1" applyFont="1" applyBorder="1" applyAlignment="1">
      <alignment horizontal="right"/>
    </xf>
    <xf numFmtId="3" fontId="50" fillId="0" borderId="59" xfId="0" applyNumberFormat="1" applyFont="1" applyBorder="1" applyAlignment="1">
      <alignment horizontal="right"/>
    </xf>
    <xf numFmtId="3" fontId="50" fillId="0" borderId="57" xfId="0" applyNumberFormat="1" applyFont="1" applyBorder="1" applyAlignment="1">
      <alignment horizontal="right"/>
    </xf>
    <xf numFmtId="3" fontId="50" fillId="0" borderId="58" xfId="0" applyNumberFormat="1" applyFont="1" applyBorder="1" applyAlignment="1">
      <alignment horizontal="right"/>
    </xf>
    <xf numFmtId="3" fontId="45" fillId="0" borderId="12" xfId="0" applyNumberFormat="1" applyFont="1" applyBorder="1" applyAlignment="1">
      <alignment horizontal="right"/>
    </xf>
    <xf numFmtId="3" fontId="50" fillId="0" borderId="56" xfId="0" applyNumberFormat="1" applyFont="1" applyBorder="1" applyAlignment="1">
      <alignment horizontal="right"/>
    </xf>
    <xf numFmtId="3" fontId="50" fillId="4" borderId="57" xfId="0" applyNumberFormat="1" applyFont="1" applyFill="1" applyBorder="1" applyAlignment="1">
      <alignment horizontal="right"/>
    </xf>
    <xf numFmtId="3" fontId="50" fillId="4" borderId="60" xfId="0" applyNumberFormat="1" applyFont="1" applyFill="1" applyBorder="1" applyAlignment="1">
      <alignment horizontal="right"/>
    </xf>
    <xf numFmtId="3" fontId="59" fillId="0" borderId="12" xfId="0" applyNumberFormat="1" applyFont="1" applyBorder="1" applyAlignment="1">
      <alignment horizontal="right"/>
    </xf>
    <xf numFmtId="0" fontId="28" fillId="0" borderId="57" xfId="0" applyFont="1" applyBorder="1"/>
    <xf numFmtId="3" fontId="45" fillId="4" borderId="57" xfId="0" applyNumberFormat="1" applyFont="1" applyFill="1" applyBorder="1" applyAlignment="1">
      <alignment horizontal="right"/>
    </xf>
    <xf numFmtId="0" fontId="58" fillId="0" borderId="14" xfId="0" applyFont="1" applyBorder="1"/>
    <xf numFmtId="3" fontId="55" fillId="4" borderId="57" xfId="0" applyNumberFormat="1" applyFont="1" applyFill="1" applyBorder="1" applyAlignment="1">
      <alignment horizontal="right"/>
    </xf>
    <xf numFmtId="0" fontId="3" fillId="2" borderId="14" xfId="0" applyFont="1" applyFill="1" applyBorder="1"/>
    <xf numFmtId="3" fontId="50" fillId="4" borderId="58" xfId="0" applyNumberFormat="1" applyFont="1" applyFill="1" applyBorder="1" applyAlignment="1">
      <alignment horizontal="right"/>
    </xf>
    <xf numFmtId="3" fontId="45" fillId="0" borderId="56" xfId="0" applyNumberFormat="1" applyFont="1" applyBorder="1" applyAlignment="1">
      <alignment horizontal="right"/>
    </xf>
    <xf numFmtId="3" fontId="45" fillId="0" borderId="57" xfId="0" applyNumberFormat="1" applyFont="1" applyBorder="1" applyAlignment="1">
      <alignment horizontal="right"/>
    </xf>
    <xf numFmtId="3" fontId="45" fillId="0" borderId="60" xfId="0" applyNumberFormat="1" applyFont="1" applyBorder="1" applyAlignment="1">
      <alignment horizontal="right"/>
    </xf>
    <xf numFmtId="3" fontId="45" fillId="0" borderId="59" xfId="0" applyNumberFormat="1" applyFont="1" applyBorder="1" applyAlignment="1">
      <alignment horizontal="right"/>
    </xf>
    <xf numFmtId="3" fontId="45" fillId="4" borderId="12" xfId="0" applyNumberFormat="1" applyFont="1" applyFill="1" applyBorder="1" applyAlignment="1">
      <alignment horizontal="right"/>
    </xf>
    <xf numFmtId="3" fontId="45" fillId="0" borderId="58" xfId="0" applyNumberFormat="1" applyFont="1" applyBorder="1" applyAlignment="1">
      <alignment horizontal="right"/>
    </xf>
    <xf numFmtId="3" fontId="50" fillId="4" borderId="59" xfId="0" applyNumberFormat="1" applyFont="1" applyFill="1" applyBorder="1" applyAlignment="1">
      <alignment horizontal="right"/>
    </xf>
    <xf numFmtId="3" fontId="53" fillId="4" borderId="12" xfId="0" applyNumberFormat="1" applyFont="1" applyFill="1" applyBorder="1"/>
    <xf numFmtId="0" fontId="44" fillId="3" borderId="33" xfId="0" applyFont="1" applyFill="1" applyBorder="1" applyAlignment="1">
      <alignment horizontal="right" vertical="center" textRotation="90" wrapText="1"/>
    </xf>
    <xf numFmtId="3" fontId="44" fillId="3" borderId="35" xfId="0" applyNumberFormat="1" applyFont="1" applyFill="1" applyBorder="1" applyAlignment="1">
      <alignment horizontal="right" vertical="center" wrapText="1"/>
    </xf>
    <xf numFmtId="3" fontId="50" fillId="3" borderId="35" xfId="0" applyNumberFormat="1" applyFont="1" applyFill="1" applyBorder="1" applyAlignment="1">
      <alignment horizontal="right"/>
    </xf>
    <xf numFmtId="3" fontId="46" fillId="3" borderId="35" xfId="0" applyNumberFormat="1" applyFont="1" applyFill="1" applyBorder="1" applyAlignment="1">
      <alignment horizontal="right"/>
    </xf>
    <xf numFmtId="3" fontId="57" fillId="0" borderId="35" xfId="0" applyNumberFormat="1" applyFont="1" applyBorder="1" applyAlignment="1">
      <alignment horizontal="right"/>
    </xf>
    <xf numFmtId="3" fontId="50" fillId="0" borderId="35" xfId="0" applyNumberFormat="1" applyFont="1" applyBorder="1" applyAlignment="1">
      <alignment horizontal="right"/>
    </xf>
    <xf numFmtId="3" fontId="45" fillId="0" borderId="35" xfId="0" applyNumberFormat="1" applyFont="1" applyBorder="1" applyAlignment="1">
      <alignment horizontal="right"/>
    </xf>
    <xf numFmtId="3" fontId="50" fillId="4" borderId="35" xfId="0" applyNumberFormat="1" applyFont="1" applyFill="1" applyBorder="1" applyAlignment="1">
      <alignment horizontal="right"/>
    </xf>
    <xf numFmtId="0" fontId="28" fillId="0" borderId="35" xfId="0" applyFont="1" applyBorder="1"/>
    <xf numFmtId="3" fontId="45" fillId="4" borderId="35" xfId="0" applyNumberFormat="1" applyFont="1" applyFill="1" applyBorder="1" applyAlignment="1">
      <alignment horizontal="right"/>
    </xf>
    <xf numFmtId="0" fontId="58" fillId="0" borderId="35" xfId="0" applyFont="1" applyBorder="1"/>
    <xf numFmtId="3" fontId="55" fillId="4" borderId="35" xfId="0" applyNumberFormat="1" applyFont="1" applyFill="1" applyBorder="1" applyAlignment="1">
      <alignment horizontal="right"/>
    </xf>
    <xf numFmtId="0" fontId="3" fillId="2" borderId="35" xfId="0" applyFont="1" applyFill="1" applyBorder="1"/>
    <xf numFmtId="0" fontId="0" fillId="0" borderId="35" xfId="0" applyFill="1" applyBorder="1" applyAlignment="1">
      <alignment horizontal="right"/>
    </xf>
    <xf numFmtId="3" fontId="16" fillId="3" borderId="11" xfId="0" applyNumberFormat="1" applyFont="1" applyFill="1" applyBorder="1" applyAlignment="1">
      <alignment horizontal="right" vertical="center" wrapText="1"/>
    </xf>
    <xf numFmtId="3" fontId="16" fillId="3" borderId="12" xfId="0" applyNumberFormat="1" applyFont="1" applyFill="1" applyBorder="1" applyAlignment="1">
      <alignment horizontal="right" vertical="center" wrapText="1"/>
    </xf>
    <xf numFmtId="3" fontId="16" fillId="3" borderId="35" xfId="0" applyNumberFormat="1" applyFont="1" applyFill="1" applyBorder="1" applyAlignment="1">
      <alignment horizontal="right" vertical="center" wrapText="1"/>
    </xf>
    <xf numFmtId="3" fontId="69" fillId="6" borderId="11" xfId="0" applyNumberFormat="1" applyFont="1" applyFill="1" applyBorder="1" applyAlignment="1">
      <alignment horizontal="right"/>
    </xf>
    <xf numFmtId="3" fontId="34" fillId="0" borderId="13" xfId="0" applyNumberFormat="1" applyFont="1" applyBorder="1"/>
    <xf numFmtId="3" fontId="34" fillId="0" borderId="61" xfId="0" applyNumberFormat="1" applyFont="1" applyBorder="1"/>
    <xf numFmtId="3" fontId="33" fillId="0" borderId="48" xfId="0" applyNumberFormat="1" applyFont="1" applyBorder="1"/>
    <xf numFmtId="3" fontId="34" fillId="0" borderId="62" xfId="0" applyNumberFormat="1" applyFont="1" applyBorder="1"/>
    <xf numFmtId="3" fontId="34" fillId="0" borderId="41" xfId="0" applyNumberFormat="1" applyFont="1" applyBorder="1"/>
    <xf numFmtId="0" fontId="34" fillId="0" borderId="41" xfId="0" applyFont="1" applyBorder="1"/>
    <xf numFmtId="3" fontId="70" fillId="0" borderId="37" xfId="0" applyNumberFormat="1" applyFont="1" applyBorder="1"/>
    <xf numFmtId="3" fontId="70" fillId="0" borderId="7" xfId="0" applyNumberFormat="1" applyFont="1" applyBorder="1"/>
    <xf numFmtId="3" fontId="71" fillId="0" borderId="1" xfId="0" applyNumberFormat="1" applyFont="1" applyBorder="1"/>
    <xf numFmtId="3" fontId="70" fillId="0" borderId="3" xfId="0" applyNumberFormat="1" applyFont="1" applyBorder="1" applyAlignment="1">
      <alignment horizontal="center"/>
    </xf>
    <xf numFmtId="3" fontId="62" fillId="0" borderId="1" xfId="0" applyNumberFormat="1" applyFont="1" applyBorder="1"/>
    <xf numFmtId="3" fontId="60" fillId="0" borderId="3" xfId="0" applyNumberFormat="1" applyFont="1" applyBorder="1" applyAlignment="1">
      <alignment horizontal="center"/>
    </xf>
    <xf numFmtId="3" fontId="60" fillId="0" borderId="63" xfId="0" applyNumberFormat="1" applyFont="1" applyBorder="1"/>
    <xf numFmtId="3" fontId="70" fillId="0" borderId="63" xfId="0" applyNumberFormat="1" applyFont="1" applyBorder="1"/>
    <xf numFmtId="49" fontId="72" fillId="0" borderId="12" xfId="0" applyNumberFormat="1" applyFont="1" applyBorder="1" applyAlignment="1">
      <alignment horizontal="center"/>
    </xf>
    <xf numFmtId="49" fontId="70" fillId="0" borderId="13" xfId="0" applyNumberFormat="1" applyFont="1" applyBorder="1" applyAlignment="1">
      <alignment horizontal="center"/>
    </xf>
    <xf numFmtId="3" fontId="33" fillId="0" borderId="53" xfId="0" applyNumberFormat="1" applyFont="1" applyBorder="1" applyAlignment="1">
      <alignment horizontal="center"/>
    </xf>
    <xf numFmtId="49" fontId="70" fillId="0" borderId="64" xfId="0" applyNumberFormat="1" applyFont="1" applyBorder="1" applyAlignment="1">
      <alignment horizontal="center"/>
    </xf>
    <xf numFmtId="49" fontId="70" fillId="0" borderId="12" xfId="0" applyNumberFormat="1" applyFont="1" applyBorder="1" applyAlignment="1">
      <alignment horizontal="center"/>
    </xf>
    <xf numFmtId="3" fontId="33" fillId="0" borderId="36" xfId="0" applyNumberFormat="1" applyFont="1" applyBorder="1"/>
    <xf numFmtId="3" fontId="70" fillId="0" borderId="37" xfId="0" applyNumberFormat="1" applyFont="1" applyBorder="1" applyAlignment="1">
      <alignment horizontal="center"/>
    </xf>
    <xf numFmtId="3" fontId="60" fillId="0" borderId="37" xfId="0" applyNumberFormat="1" applyFont="1" applyBorder="1" applyAlignment="1">
      <alignment horizontal="center"/>
    </xf>
    <xf numFmtId="3" fontId="70" fillId="0" borderId="1" xfId="0" applyNumberFormat="1" applyFont="1" applyBorder="1"/>
    <xf numFmtId="3" fontId="60" fillId="0" borderId="1" xfId="0" applyNumberFormat="1" applyFont="1" applyBorder="1"/>
    <xf numFmtId="3" fontId="33" fillId="0" borderId="31" xfId="0" applyNumberFormat="1" applyFont="1" applyBorder="1"/>
    <xf numFmtId="3" fontId="70" fillId="0" borderId="1" xfId="0" applyNumberFormat="1" applyFont="1" applyBorder="1" applyAlignment="1">
      <alignment horizontal="center"/>
    </xf>
    <xf numFmtId="3" fontId="60" fillId="0" borderId="1" xfId="0" applyNumberFormat="1" applyFont="1" applyBorder="1" applyAlignment="1">
      <alignment horizontal="center"/>
    </xf>
    <xf numFmtId="3" fontId="3" fillId="0" borderId="3" xfId="0" applyNumberFormat="1" applyFont="1" applyBorder="1"/>
    <xf numFmtId="49" fontId="73" fillId="0" borderId="13" xfId="0" applyNumberFormat="1" applyFont="1" applyBorder="1" applyAlignment="1">
      <alignment horizontal="center"/>
    </xf>
    <xf numFmtId="0" fontId="34" fillId="0" borderId="21" xfId="0" applyFont="1" applyBorder="1" applyAlignment="1">
      <alignment horizontal="center"/>
    </xf>
    <xf numFmtId="3" fontId="34" fillId="0" borderId="24" xfId="0" applyNumberFormat="1" applyFont="1" applyBorder="1" applyAlignment="1">
      <alignment horizontal="center"/>
    </xf>
    <xf numFmtId="3" fontId="34" fillId="0" borderId="0" xfId="0" applyNumberFormat="1" applyFont="1" applyBorder="1" applyAlignment="1">
      <alignment horizontal="center"/>
    </xf>
    <xf numFmtId="0" fontId="34" fillId="0" borderId="0" xfId="0" applyFont="1" applyBorder="1" applyAlignment="1">
      <alignment horizontal="center"/>
    </xf>
    <xf numFmtId="3" fontId="1" fillId="0" borderId="0" xfId="0" applyNumberFormat="1" applyFont="1" applyBorder="1"/>
    <xf numFmtId="3" fontId="1" fillId="0" borderId="0" xfId="0" applyNumberFormat="1" applyFont="1"/>
    <xf numFmtId="3" fontId="34" fillId="0" borderId="65" xfId="0" applyNumberFormat="1" applyFont="1" applyBorder="1"/>
    <xf numFmtId="49" fontId="33" fillId="0" borderId="19" xfId="0" applyNumberFormat="1" applyFont="1" applyBorder="1"/>
    <xf numFmtId="49" fontId="33" fillId="0" borderId="61" xfId="0" applyNumberFormat="1" applyFont="1" applyBorder="1"/>
    <xf numFmtId="3" fontId="60" fillId="0" borderId="6" xfId="0" applyNumberFormat="1" applyFont="1" applyBorder="1"/>
    <xf numFmtId="3" fontId="60" fillId="0" borderId="38" xfId="0" applyNumberFormat="1" applyFont="1" applyBorder="1"/>
    <xf numFmtId="3" fontId="60" fillId="0" borderId="14" xfId="0" applyNumberFormat="1" applyFont="1" applyBorder="1"/>
    <xf numFmtId="3" fontId="62" fillId="0" borderId="14" xfId="0" applyNumberFormat="1" applyFont="1" applyBorder="1"/>
    <xf numFmtId="3" fontId="34" fillId="0" borderId="34" xfId="0" applyNumberFormat="1" applyFont="1" applyBorder="1" applyAlignment="1">
      <alignment horizontal="center"/>
    </xf>
    <xf numFmtId="3" fontId="33" fillId="0" borderId="19" xfId="0" applyNumberFormat="1" applyFont="1" applyFill="1" applyBorder="1" applyAlignment="1">
      <alignment horizontal="center"/>
    </xf>
    <xf numFmtId="3" fontId="33" fillId="0" borderId="20" xfId="0" applyNumberFormat="1" applyFont="1" applyBorder="1"/>
    <xf numFmtId="3" fontId="35" fillId="0" borderId="61" xfId="0" applyNumberFormat="1" applyFont="1" applyFill="1" applyBorder="1"/>
    <xf numFmtId="3" fontId="33" fillId="0" borderId="20" xfId="0" applyNumberFormat="1" applyFont="1" applyFill="1" applyBorder="1" applyAlignment="1">
      <alignment horizontal="center"/>
    </xf>
    <xf numFmtId="3" fontId="35" fillId="0" borderId="61" xfId="0" applyNumberFormat="1" applyFont="1" applyBorder="1"/>
    <xf numFmtId="3" fontId="33" fillId="0" borderId="12" xfId="0" applyNumberFormat="1" applyFont="1" applyFill="1" applyBorder="1" applyAlignment="1">
      <alignment horizontal="center"/>
    </xf>
    <xf numFmtId="3" fontId="35" fillId="0" borderId="30" xfId="0" applyNumberFormat="1" applyFont="1" applyBorder="1" applyAlignment="1">
      <alignment horizontal="center"/>
    </xf>
    <xf numFmtId="3" fontId="35" fillId="0" borderId="13" xfId="0" applyNumberFormat="1" applyFont="1" applyBorder="1"/>
    <xf numFmtId="3" fontId="33" fillId="0" borderId="0" xfId="0" applyNumberFormat="1" applyFont="1" applyFill="1" applyBorder="1"/>
    <xf numFmtId="0" fontId="35" fillId="0" borderId="42" xfId="0" applyFont="1" applyBorder="1" applyAlignment="1">
      <alignment horizontal="center"/>
    </xf>
    <xf numFmtId="3" fontId="34" fillId="0" borderId="17" xfId="0" applyNumberFormat="1" applyFont="1" applyBorder="1"/>
    <xf numFmtId="0" fontId="37" fillId="0" borderId="0" xfId="0" applyFont="1" applyBorder="1"/>
    <xf numFmtId="3" fontId="40" fillId="0" borderId="0" xfId="0" applyNumberFormat="1" applyFont="1" applyBorder="1" applyAlignment="1">
      <alignment horizontal="center"/>
    </xf>
    <xf numFmtId="3" fontId="45" fillId="4" borderId="15" xfId="0" applyNumberFormat="1" applyFont="1" applyFill="1" applyBorder="1" applyAlignment="1">
      <alignment horizontal="right"/>
    </xf>
    <xf numFmtId="3" fontId="36" fillId="0" borderId="0" xfId="0" applyNumberFormat="1" applyFont="1" applyBorder="1"/>
    <xf numFmtId="0" fontId="34" fillId="0" borderId="66" xfId="0" applyFont="1" applyBorder="1"/>
    <xf numFmtId="0" fontId="34" fillId="0" borderId="63" xfId="0" applyFont="1" applyBorder="1"/>
    <xf numFmtId="3" fontId="34" fillId="0" borderId="67" xfId="0" applyNumberFormat="1" applyFont="1" applyBorder="1"/>
    <xf numFmtId="3" fontId="33" fillId="0" borderId="5" xfId="0" applyNumberFormat="1" applyFont="1" applyBorder="1"/>
    <xf numFmtId="3" fontId="33" fillId="0" borderId="35" xfId="0" applyNumberFormat="1" applyFont="1" applyBorder="1"/>
    <xf numFmtId="0" fontId="34" fillId="0" borderId="51" xfId="0" applyFont="1" applyBorder="1"/>
    <xf numFmtId="3" fontId="34" fillId="0" borderId="35" xfId="0" applyNumberFormat="1" applyFont="1" applyBorder="1"/>
    <xf numFmtId="3" fontId="34" fillId="0" borderId="15" xfId="0" applyNumberFormat="1" applyFont="1" applyBorder="1"/>
    <xf numFmtId="3" fontId="34" fillId="0" borderId="54" xfId="0" applyNumberFormat="1" applyFont="1" applyBorder="1"/>
    <xf numFmtId="3" fontId="37" fillId="0" borderId="68" xfId="0" applyNumberFormat="1" applyFont="1" applyBorder="1"/>
    <xf numFmtId="3" fontId="37" fillId="0" borderId="8" xfId="0" applyNumberFormat="1" applyFont="1" applyBorder="1"/>
    <xf numFmtId="3" fontId="70" fillId="0" borderId="7" xfId="0" applyNumberFormat="1" applyFont="1" applyFill="1" applyBorder="1"/>
    <xf numFmtId="3" fontId="37" fillId="0" borderId="7" xfId="0" applyNumberFormat="1" applyFont="1" applyFill="1" applyBorder="1"/>
    <xf numFmtId="3" fontId="37" fillId="0" borderId="7" xfId="0" applyNumberFormat="1" applyFont="1" applyBorder="1"/>
    <xf numFmtId="3" fontId="74" fillId="2" borderId="8" xfId="0" applyNumberFormat="1" applyFont="1" applyFill="1" applyBorder="1"/>
    <xf numFmtId="3" fontId="0" fillId="0" borderId="1" xfId="0" applyNumberFormat="1" applyBorder="1"/>
    <xf numFmtId="3" fontId="74" fillId="0" borderId="1" xfId="0" applyNumberFormat="1" applyFont="1" applyBorder="1"/>
    <xf numFmtId="3" fontId="34" fillId="0" borderId="30" xfId="0" applyNumberFormat="1" applyFont="1" applyBorder="1"/>
    <xf numFmtId="3" fontId="34" fillId="0" borderId="38" xfId="0" applyNumberFormat="1" applyFont="1" applyBorder="1"/>
    <xf numFmtId="3" fontId="33" fillId="0" borderId="14" xfId="0" applyNumberFormat="1" applyFont="1" applyBorder="1"/>
    <xf numFmtId="2" fontId="33" fillId="0" borderId="1" xfId="0" applyNumberFormat="1" applyFont="1" applyBorder="1"/>
    <xf numFmtId="14" fontId="34" fillId="0" borderId="59" xfId="0" applyNumberFormat="1" applyFont="1" applyBorder="1"/>
    <xf numFmtId="3" fontId="34" fillId="0" borderId="12" xfId="0" applyNumberFormat="1" applyFont="1" applyBorder="1"/>
    <xf numFmtId="3" fontId="34" fillId="0" borderId="33" xfId="0" applyNumberFormat="1" applyFont="1" applyBorder="1" applyAlignment="1">
      <alignment horizontal="center"/>
    </xf>
    <xf numFmtId="3" fontId="3" fillId="0" borderId="35" xfId="0" applyNumberFormat="1" applyFont="1" applyBorder="1"/>
    <xf numFmtId="3" fontId="3" fillId="0" borderId="34" xfId="0" applyNumberFormat="1" applyFont="1" applyBorder="1"/>
    <xf numFmtId="3" fontId="33" fillId="0" borderId="33" xfId="0" applyNumberFormat="1" applyFont="1" applyBorder="1"/>
    <xf numFmtId="3" fontId="33" fillId="0" borderId="34" xfId="0" applyNumberFormat="1" applyFont="1" applyBorder="1"/>
    <xf numFmtId="3" fontId="34" fillId="0" borderId="9" xfId="0" applyNumberFormat="1" applyFont="1" applyBorder="1"/>
    <xf numFmtId="3" fontId="33" fillId="0" borderId="21" xfId="0" applyNumberFormat="1" applyFont="1" applyBorder="1"/>
    <xf numFmtId="3" fontId="33" fillId="0" borderId="24" xfId="0" applyNumberFormat="1" applyFont="1" applyBorder="1"/>
    <xf numFmtId="3" fontId="33" fillId="0" borderId="26" xfId="0" applyNumberFormat="1" applyFont="1" applyBorder="1"/>
    <xf numFmtId="3" fontId="34" fillId="0" borderId="34" xfId="0" applyNumberFormat="1" applyFont="1" applyBorder="1"/>
    <xf numFmtId="0" fontId="34" fillId="0" borderId="11" xfId="0" applyFont="1" applyBorder="1"/>
    <xf numFmtId="3" fontId="34" fillId="0" borderId="26" xfId="0" applyNumberFormat="1" applyFont="1" applyBorder="1"/>
    <xf numFmtId="0" fontId="34" fillId="0" borderId="12" xfId="0" applyFont="1" applyBorder="1"/>
    <xf numFmtId="3" fontId="3" fillId="0" borderId="29" xfId="0" applyNumberFormat="1" applyFont="1" applyBorder="1"/>
    <xf numFmtId="3" fontId="3" fillId="0" borderId="31" xfId="0" applyNumberFormat="1" applyFont="1" applyBorder="1"/>
    <xf numFmtId="3" fontId="0" fillId="2" borderId="41" xfId="0" applyNumberFormat="1" applyFill="1" applyBorder="1" applyAlignment="1">
      <alignment horizontal="right"/>
    </xf>
    <xf numFmtId="3" fontId="0" fillId="2" borderId="29" xfId="0" applyNumberFormat="1" applyFill="1" applyBorder="1" applyAlignment="1">
      <alignment horizontal="right"/>
    </xf>
    <xf numFmtId="3" fontId="44" fillId="3" borderId="24" xfId="0" applyNumberFormat="1" applyFont="1" applyFill="1" applyBorder="1" applyAlignment="1">
      <alignment horizontal="right" vertical="center" wrapText="1"/>
    </xf>
    <xf numFmtId="3" fontId="16" fillId="3" borderId="24" xfId="0" applyNumberFormat="1" applyFont="1" applyFill="1" applyBorder="1" applyAlignment="1">
      <alignment horizontal="right" vertical="center" wrapText="1"/>
    </xf>
    <xf numFmtId="3" fontId="34" fillId="0" borderId="8" xfId="0" applyNumberFormat="1" applyFont="1" applyBorder="1" applyAlignment="1">
      <alignment horizontal="center"/>
    </xf>
    <xf numFmtId="3" fontId="34" fillId="0" borderId="37" xfId="0" applyNumberFormat="1" applyFont="1" applyBorder="1" applyAlignment="1">
      <alignment horizontal="center"/>
    </xf>
    <xf numFmtId="3" fontId="40" fillId="0" borderId="1" xfId="0" applyNumberFormat="1" applyFont="1" applyFill="1" applyBorder="1"/>
    <xf numFmtId="0" fontId="16" fillId="2" borderId="0" xfId="0" applyFont="1" applyFill="1" applyBorder="1" applyAlignment="1"/>
    <xf numFmtId="3" fontId="0" fillId="0" borderId="0" xfId="0" applyNumberFormat="1" applyFill="1" applyBorder="1"/>
    <xf numFmtId="0" fontId="0" fillId="0" borderId="0" xfId="0" applyBorder="1" applyAlignment="1">
      <alignment horizontal="right"/>
    </xf>
    <xf numFmtId="0" fontId="3" fillId="3" borderId="23" xfId="0" applyFont="1" applyFill="1" applyBorder="1" applyAlignment="1">
      <alignment horizontal="center" vertical="center" wrapText="1"/>
    </xf>
    <xf numFmtId="0" fontId="75" fillId="3" borderId="11" xfId="0" applyFont="1" applyFill="1" applyBorder="1" applyAlignment="1">
      <alignment horizontal="right" vertical="center" textRotation="90" wrapText="1"/>
    </xf>
    <xf numFmtId="0" fontId="6" fillId="2" borderId="0" xfId="0" applyFont="1" applyFill="1" applyBorder="1" applyAlignment="1">
      <alignment horizontal="left" vertical="center" wrapText="1"/>
    </xf>
    <xf numFmtId="0" fontId="34" fillId="3" borderId="13"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2" fillId="0" borderId="33" xfId="0" applyFont="1" applyBorder="1" applyAlignment="1">
      <alignment horizontal="center" vertical="center" textRotation="90" wrapText="1"/>
    </xf>
    <xf numFmtId="0" fontId="2" fillId="0" borderId="23" xfId="0" applyFont="1" applyBorder="1" applyAlignment="1">
      <alignment horizontal="center" vertical="center" textRotation="90" wrapText="1"/>
    </xf>
    <xf numFmtId="0" fontId="2" fillId="0" borderId="21" xfId="0" applyFont="1" applyBorder="1" applyAlignment="1">
      <alignment horizontal="center" vertical="center" textRotation="90" wrapText="1"/>
    </xf>
    <xf numFmtId="0" fontId="23" fillId="2" borderId="20" xfId="0" applyFont="1" applyFill="1" applyBorder="1"/>
    <xf numFmtId="0" fontId="75" fillId="5" borderId="30" xfId="0" applyFont="1" applyFill="1" applyBorder="1"/>
    <xf numFmtId="0" fontId="68" fillId="2" borderId="11" xfId="0" applyFont="1" applyFill="1" applyBorder="1" applyAlignment="1">
      <alignment horizontal="center" vertical="center" wrapText="1"/>
    </xf>
    <xf numFmtId="0" fontId="76" fillId="2" borderId="20" xfId="0" applyFont="1" applyFill="1" applyBorder="1"/>
    <xf numFmtId="0" fontId="23" fillId="3" borderId="44" xfId="0" applyFont="1" applyFill="1" applyBorder="1" applyAlignment="1">
      <alignment horizontal="left"/>
    </xf>
    <xf numFmtId="0" fontId="23" fillId="3" borderId="45" xfId="0" applyFont="1" applyFill="1" applyBorder="1" applyAlignment="1">
      <alignment horizontal="left"/>
    </xf>
    <xf numFmtId="0" fontId="23" fillId="3" borderId="46" xfId="0" applyFont="1" applyFill="1" applyBorder="1" applyAlignment="1">
      <alignment horizontal="left"/>
    </xf>
    <xf numFmtId="0" fontId="12" fillId="0" borderId="44" xfId="0" applyFont="1" applyBorder="1"/>
    <xf numFmtId="0" fontId="12" fillId="0" borderId="45" xfId="0" applyFont="1" applyBorder="1"/>
    <xf numFmtId="0" fontId="12" fillId="0" borderId="55" xfId="0" applyFont="1" applyBorder="1"/>
    <xf numFmtId="3" fontId="3" fillId="2" borderId="0" xfId="0" applyNumberFormat="1" applyFont="1" applyFill="1" applyBorder="1" applyAlignment="1">
      <alignment horizontal="left"/>
    </xf>
    <xf numFmtId="0" fontId="28" fillId="2" borderId="0" xfId="0" applyFont="1" applyFill="1" applyBorder="1"/>
    <xf numFmtId="0" fontId="3" fillId="0" borderId="0" xfId="0" applyFont="1" applyBorder="1" applyAlignment="1">
      <alignment horizontal="left"/>
    </xf>
    <xf numFmtId="3" fontId="0" fillId="2" borderId="1" xfId="0" applyNumberFormat="1" applyFill="1" applyBorder="1"/>
    <xf numFmtId="3" fontId="0" fillId="2" borderId="14" xfId="0" applyNumberFormat="1" applyFill="1" applyBorder="1"/>
    <xf numFmtId="0" fontId="28" fillId="2" borderId="1" xfId="0" applyFont="1" applyFill="1" applyBorder="1"/>
    <xf numFmtId="3" fontId="78" fillId="0" borderId="15" xfId="0" applyNumberFormat="1" applyFont="1" applyBorder="1" applyAlignment="1">
      <alignment horizontal="right"/>
    </xf>
    <xf numFmtId="3" fontId="78" fillId="0" borderId="16" xfId="0" applyNumberFormat="1" applyFont="1" applyBorder="1" applyAlignment="1">
      <alignment horizontal="right"/>
    </xf>
    <xf numFmtId="3" fontId="0" fillId="0" borderId="35" xfId="0" applyNumberFormat="1" applyFill="1" applyBorder="1" applyAlignment="1">
      <alignment horizontal="right"/>
    </xf>
    <xf numFmtId="3" fontId="0" fillId="0" borderId="34" xfId="0" applyNumberFormat="1" applyFill="1" applyBorder="1" applyAlignment="1">
      <alignment horizontal="right"/>
    </xf>
    <xf numFmtId="3" fontId="0" fillId="0" borderId="33" xfId="0" applyNumberFormat="1" applyFill="1" applyBorder="1" applyAlignment="1">
      <alignment horizontal="right"/>
    </xf>
    <xf numFmtId="3" fontId="79" fillId="4" borderId="45" xfId="0" applyNumberFormat="1" applyFont="1" applyFill="1" applyBorder="1" applyAlignment="1">
      <alignment horizontal="right"/>
    </xf>
    <xf numFmtId="0" fontId="28" fillId="0" borderId="51" xfId="0" applyFont="1" applyBorder="1"/>
    <xf numFmtId="0" fontId="58" fillId="0" borderId="16" xfId="0" applyFont="1" applyBorder="1"/>
    <xf numFmtId="0" fontId="28" fillId="2" borderId="16" xfId="0" applyFont="1" applyFill="1" applyBorder="1"/>
    <xf numFmtId="3" fontId="80" fillId="3" borderId="18" xfId="0" applyNumberFormat="1" applyFont="1" applyFill="1" applyBorder="1" applyAlignment="1">
      <alignment horizontal="right"/>
    </xf>
    <xf numFmtId="0" fontId="78" fillId="0" borderId="0" xfId="0" applyFont="1" applyFill="1" applyBorder="1"/>
    <xf numFmtId="3" fontId="3" fillId="6" borderId="11" xfId="0" applyNumberFormat="1" applyFont="1" applyFill="1" applyBorder="1" applyAlignment="1">
      <alignment horizontal="right"/>
    </xf>
    <xf numFmtId="3" fontId="28" fillId="3" borderId="15" xfId="0" applyNumberFormat="1" applyFont="1" applyFill="1" applyBorder="1" applyAlignment="1">
      <alignment horizontal="right"/>
    </xf>
    <xf numFmtId="3" fontId="28" fillId="4" borderId="45" xfId="0" applyNumberFormat="1" applyFont="1" applyFill="1" applyBorder="1" applyAlignment="1">
      <alignment horizontal="right"/>
    </xf>
    <xf numFmtId="3" fontId="3" fillId="0" borderId="11" xfId="0" applyNumberFormat="1" applyFont="1" applyBorder="1" applyAlignment="1">
      <alignment horizontal="right"/>
    </xf>
    <xf numFmtId="3" fontId="50" fillId="0" borderId="33" xfId="0" applyNumberFormat="1" applyFont="1" applyBorder="1" applyAlignment="1">
      <alignment horizontal="right"/>
    </xf>
    <xf numFmtId="3" fontId="45" fillId="4" borderId="33" xfId="0" applyNumberFormat="1" applyFont="1" applyFill="1" applyBorder="1" applyAlignment="1">
      <alignment horizontal="right"/>
    </xf>
    <xf numFmtId="3" fontId="50" fillId="4" borderId="11" xfId="0" applyNumberFormat="1" applyFont="1" applyFill="1" applyBorder="1" applyAlignment="1">
      <alignment horizontal="right"/>
    </xf>
    <xf numFmtId="0" fontId="16" fillId="0" borderId="1" xfId="0" applyFont="1" applyFill="1" applyBorder="1"/>
    <xf numFmtId="3" fontId="34" fillId="0" borderId="29" xfId="0" applyNumberFormat="1" applyFont="1" applyBorder="1" applyAlignment="1">
      <alignment horizontal="center"/>
    </xf>
    <xf numFmtId="3" fontId="34" fillId="0" borderId="65" xfId="0" applyNumberFormat="1" applyFont="1" applyBorder="1" applyAlignment="1">
      <alignment horizontal="center"/>
    </xf>
    <xf numFmtId="3" fontId="34" fillId="0" borderId="69" xfId="0" applyNumberFormat="1" applyFont="1" applyBorder="1" applyAlignment="1">
      <alignment horizontal="center"/>
    </xf>
    <xf numFmtId="3" fontId="44" fillId="3" borderId="33" xfId="0" applyNumberFormat="1" applyFont="1" applyFill="1" applyBorder="1" applyAlignment="1">
      <alignment horizontal="right" vertical="center" wrapText="1"/>
    </xf>
    <xf numFmtId="3" fontId="16" fillId="3" borderId="34" xfId="0" applyNumberFormat="1" applyFont="1" applyFill="1" applyBorder="1" applyAlignment="1">
      <alignment horizontal="right"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75" fillId="2" borderId="47" xfId="0" applyFont="1" applyFill="1" applyBorder="1"/>
    <xf numFmtId="0" fontId="51" fillId="2" borderId="11" xfId="0" applyFont="1" applyFill="1" applyBorder="1" applyAlignment="1">
      <alignment horizontal="right"/>
    </xf>
    <xf numFmtId="0" fontId="51" fillId="2" borderId="30" xfId="0" applyFont="1" applyFill="1" applyBorder="1"/>
    <xf numFmtId="3" fontId="50" fillId="4" borderId="11" xfId="0" applyNumberFormat="1" applyFont="1" applyFill="1" applyBorder="1"/>
    <xf numFmtId="0" fontId="2" fillId="2" borderId="47" xfId="0" applyFont="1" applyFill="1" applyBorder="1"/>
    <xf numFmtId="0" fontId="2" fillId="2" borderId="0" xfId="0" applyFont="1" applyFill="1" applyBorder="1" applyAlignment="1">
      <alignment horizontal="right" vertical="center" wrapText="1"/>
    </xf>
    <xf numFmtId="3" fontId="3" fillId="3" borderId="11" xfId="0" applyNumberFormat="1" applyFont="1" applyFill="1" applyBorder="1" applyAlignment="1">
      <alignment horizontal="right" vertical="center" wrapText="1"/>
    </xf>
    <xf numFmtId="0" fontId="23" fillId="2" borderId="0" xfId="0" applyFont="1" applyFill="1" applyBorder="1"/>
    <xf numFmtId="0" fontId="76" fillId="2" borderId="0" xfId="0" applyFont="1" applyFill="1" applyBorder="1"/>
    <xf numFmtId="0" fontId="2" fillId="2" borderId="0" xfId="0" applyFont="1" applyFill="1" applyBorder="1"/>
    <xf numFmtId="0" fontId="56" fillId="4" borderId="0" xfId="0" applyFont="1" applyFill="1" applyBorder="1"/>
    <xf numFmtId="3" fontId="79" fillId="4" borderId="16" xfId="0" applyNumberFormat="1" applyFont="1" applyFill="1" applyBorder="1" applyAlignment="1">
      <alignment horizontal="right"/>
    </xf>
    <xf numFmtId="3" fontId="79" fillId="4" borderId="54" xfId="0" applyNumberFormat="1" applyFont="1" applyFill="1" applyBorder="1" applyAlignment="1">
      <alignment horizontal="right"/>
    </xf>
    <xf numFmtId="3" fontId="79" fillId="3" borderId="15" xfId="0" applyNumberFormat="1" applyFont="1" applyFill="1" applyBorder="1" applyAlignment="1">
      <alignment horizontal="right"/>
    </xf>
    <xf numFmtId="0" fontId="28" fillId="0" borderId="0" xfId="0" applyFont="1" applyFill="1" applyBorder="1"/>
    <xf numFmtId="3" fontId="50" fillId="3" borderId="0" xfId="0" applyNumberFormat="1" applyFont="1" applyFill="1" applyBorder="1" applyAlignment="1">
      <alignment horizontal="right"/>
    </xf>
    <xf numFmtId="0" fontId="58" fillId="0" borderId="0" xfId="0" applyFont="1" applyBorder="1"/>
    <xf numFmtId="3" fontId="55" fillId="4" borderId="0" xfId="0" applyNumberFormat="1" applyFont="1" applyFill="1" applyBorder="1" applyAlignment="1">
      <alignment horizontal="right"/>
    </xf>
    <xf numFmtId="3" fontId="28" fillId="0" borderId="0" xfId="0" applyNumberFormat="1" applyFont="1" applyFill="1" applyBorder="1"/>
    <xf numFmtId="3" fontId="1" fillId="0" borderId="0" xfId="0" applyNumberFormat="1" applyFont="1" applyFill="1" applyBorder="1"/>
    <xf numFmtId="3" fontId="28" fillId="2" borderId="16" xfId="0" applyNumberFormat="1" applyFont="1" applyFill="1" applyBorder="1"/>
    <xf numFmtId="3" fontId="28" fillId="0" borderId="51" xfId="0" applyNumberFormat="1" applyFont="1" applyBorder="1"/>
    <xf numFmtId="0" fontId="3" fillId="0" borderId="43" xfId="0" applyFont="1" applyFill="1" applyBorder="1"/>
    <xf numFmtId="3" fontId="50" fillId="3" borderId="33" xfId="0" applyNumberFormat="1" applyFont="1" applyFill="1" applyBorder="1" applyAlignment="1">
      <alignment horizontal="right"/>
    </xf>
    <xf numFmtId="3" fontId="46" fillId="3" borderId="34" xfId="0" applyNumberFormat="1" applyFont="1" applyFill="1" applyBorder="1" applyAlignment="1">
      <alignment horizontal="right"/>
    </xf>
    <xf numFmtId="0" fontId="16" fillId="0" borderId="70" xfId="0" applyFont="1" applyFill="1" applyBorder="1"/>
    <xf numFmtId="0" fontId="3" fillId="0" borderId="5" xfId="0" applyFont="1" applyFill="1" applyBorder="1"/>
    <xf numFmtId="3" fontId="16" fillId="0" borderId="5" xfId="0" applyNumberFormat="1" applyFont="1" applyFill="1" applyBorder="1"/>
    <xf numFmtId="3" fontId="78" fillId="0" borderId="0" xfId="0" applyNumberFormat="1" applyFont="1" applyFill="1" applyBorder="1" applyAlignment="1">
      <alignment horizontal="right"/>
    </xf>
    <xf numFmtId="3" fontId="79" fillId="4" borderId="35" xfId="0" applyNumberFormat="1" applyFont="1" applyFill="1" applyBorder="1" applyAlignment="1">
      <alignment horizontal="right"/>
    </xf>
    <xf numFmtId="3" fontId="28" fillId="0" borderId="16" xfId="0" applyNumberFormat="1" applyFont="1" applyBorder="1"/>
    <xf numFmtId="3" fontId="48" fillId="4" borderId="16" xfId="0" applyNumberFormat="1" applyFont="1" applyFill="1" applyBorder="1" applyAlignment="1">
      <alignment horizontal="right"/>
    </xf>
    <xf numFmtId="3" fontId="79" fillId="3" borderId="16" xfId="0" applyNumberFormat="1" applyFont="1" applyFill="1" applyBorder="1" applyAlignment="1">
      <alignment horizontal="right"/>
    </xf>
    <xf numFmtId="3" fontId="34" fillId="0" borderId="36" xfId="0" applyNumberFormat="1" applyFont="1" applyBorder="1" applyAlignment="1">
      <alignment horizontal="center"/>
    </xf>
    <xf numFmtId="0" fontId="16" fillId="0" borderId="39" xfId="0" applyFont="1" applyFill="1" applyBorder="1"/>
    <xf numFmtId="3" fontId="34" fillId="0" borderId="31" xfId="0" applyNumberFormat="1" applyFont="1" applyBorder="1" applyAlignment="1">
      <alignment horizontal="center"/>
    </xf>
    <xf numFmtId="0" fontId="16" fillId="0" borderId="2" xfId="0" applyFont="1" applyFill="1" applyBorder="1"/>
    <xf numFmtId="3" fontId="34" fillId="0" borderId="32" xfId="0" applyNumberFormat="1" applyFont="1" applyBorder="1" applyAlignment="1">
      <alignment horizontal="center"/>
    </xf>
    <xf numFmtId="0" fontId="16" fillId="0" borderId="4" xfId="0" applyFont="1" applyFill="1" applyBorder="1"/>
    <xf numFmtId="3" fontId="34" fillId="0" borderId="19" xfId="0" applyNumberFormat="1" applyFont="1" applyBorder="1" applyAlignment="1">
      <alignment horizontal="center"/>
    </xf>
    <xf numFmtId="3" fontId="34" fillId="0" borderId="20" xfId="0" applyNumberFormat="1" applyFont="1" applyBorder="1"/>
    <xf numFmtId="0" fontId="16" fillId="0" borderId="61" xfId="0" applyFont="1" applyFill="1" applyBorder="1"/>
    <xf numFmtId="0" fontId="0" fillId="2" borderId="20" xfId="0" applyFill="1" applyBorder="1" applyAlignment="1"/>
    <xf numFmtId="0" fontId="75" fillId="2" borderId="47" xfId="0" applyFont="1" applyFill="1" applyBorder="1" applyAlignment="1"/>
    <xf numFmtId="0" fontId="76" fillId="2" borderId="20" xfId="0" applyFont="1" applyFill="1" applyBorder="1" applyAlignment="1"/>
    <xf numFmtId="0" fontId="2" fillId="2" borderId="47" xfId="0" applyFont="1" applyFill="1" applyBorder="1" applyAlignment="1"/>
    <xf numFmtId="0" fontId="38" fillId="2" borderId="0" xfId="0" applyFont="1" applyFill="1" applyBorder="1" applyAlignment="1">
      <alignment horizontal="center"/>
    </xf>
    <xf numFmtId="3" fontId="48" fillId="0" borderId="16" xfId="0" applyNumberFormat="1" applyFont="1" applyBorder="1" applyAlignment="1">
      <alignment horizontal="right"/>
    </xf>
    <xf numFmtId="3" fontId="28" fillId="3" borderId="16" xfId="0" applyNumberFormat="1" applyFont="1" applyFill="1" applyBorder="1" applyAlignment="1">
      <alignment horizontal="right"/>
    </xf>
    <xf numFmtId="3" fontId="28" fillId="4" borderId="16" xfId="0" applyNumberFormat="1" applyFont="1" applyFill="1" applyBorder="1" applyAlignment="1">
      <alignment horizontal="right"/>
    </xf>
    <xf numFmtId="0" fontId="3" fillId="0" borderId="0" xfId="0" applyFont="1" applyFill="1" applyBorder="1" applyAlignment="1">
      <alignment horizontal="center"/>
    </xf>
    <xf numFmtId="3" fontId="45" fillId="3" borderId="43" xfId="0" applyNumberFormat="1" applyFont="1" applyFill="1" applyBorder="1" applyAlignment="1">
      <alignment horizontal="left"/>
    </xf>
    <xf numFmtId="0" fontId="68" fillId="0" borderId="0" xfId="0" applyFont="1" applyFill="1" applyBorder="1"/>
    <xf numFmtId="3" fontId="16" fillId="0" borderId="71" xfId="0" applyNumberFormat="1" applyFont="1" applyFill="1" applyBorder="1"/>
    <xf numFmtId="0" fontId="3" fillId="0" borderId="71" xfId="0" applyFont="1" applyFill="1" applyBorder="1"/>
    <xf numFmtId="3" fontId="50" fillId="3" borderId="34" xfId="0" applyNumberFormat="1" applyFont="1" applyFill="1" applyBorder="1" applyAlignment="1">
      <alignment horizontal="right"/>
    </xf>
    <xf numFmtId="3" fontId="68" fillId="0" borderId="0" xfId="0" applyNumberFormat="1" applyFont="1" applyFill="1" applyBorder="1"/>
    <xf numFmtId="3" fontId="50" fillId="3" borderId="1" xfId="0" applyNumberFormat="1" applyFont="1" applyFill="1" applyBorder="1" applyAlignment="1">
      <alignment horizontal="right"/>
    </xf>
    <xf numFmtId="3" fontId="79" fillId="3" borderId="1" xfId="0" applyNumberFormat="1" applyFont="1" applyFill="1" applyBorder="1" applyAlignment="1">
      <alignment horizontal="right"/>
    </xf>
    <xf numFmtId="3" fontId="28" fillId="0" borderId="0" xfId="0" applyNumberFormat="1" applyFont="1" applyFill="1" applyBorder="1" applyAlignment="1">
      <alignment horizontal="left"/>
    </xf>
    <xf numFmtId="3" fontId="78" fillId="4" borderId="35" xfId="0" applyNumberFormat="1" applyFont="1" applyFill="1" applyBorder="1" applyAlignment="1">
      <alignment horizontal="right"/>
    </xf>
    <xf numFmtId="0" fontId="3" fillId="0" borderId="6" xfId="0" applyFont="1" applyFill="1" applyBorder="1"/>
    <xf numFmtId="0" fontId="3" fillId="0" borderId="24" xfId="0" applyFont="1" applyFill="1" applyBorder="1"/>
    <xf numFmtId="3" fontId="81" fillId="4" borderId="54" xfId="0" applyNumberFormat="1" applyFont="1" applyFill="1" applyBorder="1" applyAlignment="1">
      <alignment horizontal="right"/>
    </xf>
    <xf numFmtId="3" fontId="79" fillId="4" borderId="18" xfId="0" applyNumberFormat="1" applyFont="1" applyFill="1" applyBorder="1" applyAlignment="1">
      <alignment horizontal="right"/>
    </xf>
    <xf numFmtId="3" fontId="59" fillId="0" borderId="0" xfId="0" applyNumberFormat="1" applyFont="1" applyBorder="1" applyAlignment="1">
      <alignment horizontal="right"/>
    </xf>
    <xf numFmtId="3" fontId="50" fillId="0" borderId="0" xfId="0" applyNumberFormat="1" applyFont="1" applyBorder="1" applyAlignment="1">
      <alignment horizontal="right"/>
    </xf>
    <xf numFmtId="3" fontId="45" fillId="0" borderId="0" xfId="0" applyNumberFormat="1" applyFont="1" applyBorder="1" applyAlignment="1">
      <alignment horizontal="right"/>
    </xf>
    <xf numFmtId="3" fontId="50" fillId="4" borderId="0" xfId="0" applyNumberFormat="1" applyFont="1" applyFill="1" applyBorder="1" applyAlignment="1">
      <alignment horizontal="right"/>
    </xf>
    <xf numFmtId="0" fontId="28" fillId="0" borderId="0" xfId="0" applyFont="1" applyBorder="1"/>
    <xf numFmtId="3" fontId="45" fillId="4" borderId="0" xfId="0" applyNumberFormat="1" applyFont="1" applyFill="1" applyBorder="1" applyAlignment="1">
      <alignment horizontal="right"/>
    </xf>
    <xf numFmtId="3" fontId="0" fillId="0" borderId="0" xfId="0" applyNumberFormat="1" applyFill="1" applyBorder="1" applyAlignment="1">
      <alignment horizontal="right"/>
    </xf>
    <xf numFmtId="3" fontId="45" fillId="0" borderId="0" xfId="0" applyNumberFormat="1" applyFont="1" applyFill="1" applyBorder="1" applyAlignment="1">
      <alignment horizontal="right"/>
    </xf>
    <xf numFmtId="3" fontId="79" fillId="3" borderId="0" xfId="0" applyNumberFormat="1" applyFont="1" applyFill="1" applyBorder="1" applyAlignment="1">
      <alignment horizontal="right"/>
    </xf>
    <xf numFmtId="3" fontId="45" fillId="3" borderId="0" xfId="0" applyNumberFormat="1" applyFont="1" applyFill="1" applyBorder="1" applyAlignment="1">
      <alignment horizontal="left"/>
    </xf>
    <xf numFmtId="0" fontId="16" fillId="0" borderId="24" xfId="0" applyFont="1" applyFill="1" applyBorder="1"/>
    <xf numFmtId="3" fontId="79" fillId="3" borderId="18" xfId="0" applyNumberFormat="1" applyFont="1" applyFill="1" applyBorder="1" applyAlignment="1">
      <alignment horizontal="right"/>
    </xf>
    <xf numFmtId="0" fontId="28" fillId="0" borderId="0" xfId="0" applyFont="1" applyFill="1" applyBorder="1" applyAlignment="1">
      <alignment horizontal="right"/>
    </xf>
    <xf numFmtId="0" fontId="44" fillId="0" borderId="0" xfId="0" applyFont="1" applyFill="1" applyBorder="1"/>
    <xf numFmtId="3" fontId="44" fillId="0" borderId="0" xfId="0" applyNumberFormat="1" applyFont="1" applyFill="1" applyBorder="1"/>
    <xf numFmtId="3" fontId="79" fillId="3" borderId="35" xfId="0" applyNumberFormat="1" applyFont="1" applyFill="1" applyBorder="1" applyAlignment="1">
      <alignment horizontal="left"/>
    </xf>
    <xf numFmtId="3" fontId="79" fillId="3" borderId="35" xfId="0" applyNumberFormat="1" applyFont="1" applyFill="1" applyBorder="1" applyAlignment="1">
      <alignment horizontal="right"/>
    </xf>
    <xf numFmtId="3" fontId="28" fillId="3" borderId="18" xfId="0" applyNumberFormat="1" applyFont="1" applyFill="1" applyBorder="1" applyAlignment="1">
      <alignment horizontal="right"/>
    </xf>
    <xf numFmtId="3" fontId="110" fillId="3" borderId="15" xfId="0" applyNumberFormat="1" applyFont="1" applyFill="1" applyBorder="1" applyAlignment="1">
      <alignment horizontal="right"/>
    </xf>
    <xf numFmtId="3" fontId="58" fillId="3" borderId="1" xfId="0" applyNumberFormat="1" applyFont="1" applyFill="1" applyBorder="1" applyAlignment="1"/>
    <xf numFmtId="3" fontId="47" fillId="3" borderId="1" xfId="0" applyNumberFormat="1" applyFont="1" applyFill="1" applyBorder="1" applyAlignment="1"/>
    <xf numFmtId="3" fontId="45" fillId="6" borderId="11" xfId="0" applyNumberFormat="1" applyFont="1" applyFill="1" applyBorder="1" applyAlignment="1">
      <alignment horizontal="center"/>
    </xf>
    <xf numFmtId="3" fontId="111" fillId="3" borderId="15" xfId="0" applyNumberFormat="1" applyFont="1" applyFill="1" applyBorder="1" applyAlignment="1">
      <alignment horizontal="center"/>
    </xf>
    <xf numFmtId="3" fontId="112" fillId="0" borderId="11" xfId="0" applyNumberFormat="1" applyFont="1" applyBorder="1" applyAlignment="1">
      <alignment horizontal="right"/>
    </xf>
    <xf numFmtId="0" fontId="38" fillId="2" borderId="0" xfId="0" applyFont="1" applyFill="1" applyBorder="1" applyAlignment="1">
      <alignment horizontal="left"/>
    </xf>
    <xf numFmtId="0" fontId="40" fillId="2" borderId="0" xfId="0" applyFont="1" applyFill="1" applyBorder="1" applyAlignment="1">
      <alignment horizontal="left"/>
    </xf>
    <xf numFmtId="0" fontId="40" fillId="2" borderId="0" xfId="0" applyFont="1" applyFill="1" applyBorder="1" applyAlignment="1">
      <alignment horizontal="center"/>
    </xf>
    <xf numFmtId="0" fontId="43" fillId="2" borderId="0" xfId="0" applyFont="1" applyFill="1" applyBorder="1" applyAlignment="1">
      <alignment horizontal="right"/>
    </xf>
    <xf numFmtId="3" fontId="33" fillId="0" borderId="0" xfId="0" applyNumberFormat="1" applyFont="1" applyBorder="1" applyAlignment="1">
      <alignment horizontal="center"/>
    </xf>
    <xf numFmtId="0" fontId="10" fillId="2" borderId="0" xfId="0" applyFont="1" applyFill="1" applyBorder="1" applyAlignment="1">
      <alignment horizontal="right" vertical="center" wrapText="1"/>
    </xf>
    <xf numFmtId="0" fontId="44" fillId="3" borderId="0" xfId="0" applyFont="1" applyFill="1" applyBorder="1" applyAlignment="1">
      <alignment horizontal="right" vertical="center" textRotation="90" wrapText="1"/>
    </xf>
    <xf numFmtId="0" fontId="2" fillId="2" borderId="0" xfId="0" applyFont="1" applyFill="1" applyBorder="1" applyAlignment="1">
      <alignment horizontal="right"/>
    </xf>
    <xf numFmtId="0" fontId="44" fillId="3" borderId="0" xfId="0" applyFont="1" applyFill="1" applyBorder="1" applyAlignment="1">
      <alignment horizontal="right" vertical="center" wrapText="1"/>
    </xf>
    <xf numFmtId="3" fontId="44" fillId="3" borderId="0" xfId="0" applyNumberFormat="1" applyFont="1" applyFill="1" applyBorder="1" applyAlignment="1">
      <alignment horizontal="right" vertical="center" wrapText="1"/>
    </xf>
    <xf numFmtId="3" fontId="16" fillId="3" borderId="0" xfId="0" applyNumberFormat="1" applyFont="1" applyFill="1" applyBorder="1" applyAlignment="1">
      <alignment horizontal="right" vertical="center" wrapText="1"/>
    </xf>
    <xf numFmtId="3" fontId="45" fillId="6" borderId="0" xfId="0" applyNumberFormat="1" applyFont="1" applyFill="1" applyBorder="1" applyAlignment="1">
      <alignment horizontal="right"/>
    </xf>
    <xf numFmtId="0" fontId="5" fillId="2" borderId="0" xfId="0" applyFont="1" applyFill="1" applyBorder="1" applyAlignment="1">
      <alignment horizontal="right"/>
    </xf>
    <xf numFmtId="3" fontId="46" fillId="3" borderId="0" xfId="0" applyNumberFormat="1" applyFont="1" applyFill="1" applyBorder="1" applyAlignment="1">
      <alignment horizontal="right"/>
    </xf>
    <xf numFmtId="3" fontId="48" fillId="6" borderId="0" xfId="0" applyNumberFormat="1" applyFont="1" applyFill="1" applyBorder="1" applyAlignment="1">
      <alignment horizontal="right"/>
    </xf>
    <xf numFmtId="3" fontId="57" fillId="0" borderId="0" xfId="0" applyNumberFormat="1" applyFont="1" applyBorder="1" applyAlignment="1">
      <alignment horizontal="right"/>
    </xf>
    <xf numFmtId="0" fontId="5" fillId="2" borderId="0" xfId="0" applyFont="1" applyFill="1" applyBorder="1"/>
    <xf numFmtId="3" fontId="28" fillId="0" borderId="0" xfId="0" applyNumberFormat="1" applyFont="1" applyBorder="1"/>
    <xf numFmtId="3" fontId="48" fillId="4" borderId="0" xfId="0" applyNumberFormat="1" applyFont="1" applyFill="1" applyBorder="1" applyAlignment="1">
      <alignment horizontal="right"/>
    </xf>
    <xf numFmtId="3" fontId="28" fillId="2" borderId="0" xfId="0" applyNumberFormat="1" applyFont="1" applyFill="1" applyBorder="1"/>
    <xf numFmtId="3" fontId="78" fillId="4" borderId="0" xfId="0" applyNumberFormat="1" applyFont="1" applyFill="1" applyBorder="1" applyAlignment="1">
      <alignment horizontal="right"/>
    </xf>
    <xf numFmtId="0" fontId="76" fillId="2" borderId="0" xfId="0" applyFont="1" applyFill="1" applyBorder="1" applyAlignment="1"/>
    <xf numFmtId="0" fontId="2" fillId="2" borderId="0" xfId="0" applyFont="1" applyFill="1" applyBorder="1" applyAlignment="1"/>
    <xf numFmtId="0" fontId="35" fillId="0" borderId="66" xfId="0" applyFont="1" applyBorder="1" applyAlignment="1">
      <alignment horizontal="center"/>
    </xf>
    <xf numFmtId="3" fontId="34" fillId="0" borderId="63" xfId="0" applyNumberFormat="1" applyFont="1" applyBorder="1" applyAlignment="1">
      <alignment horizontal="center"/>
    </xf>
    <xf numFmtId="3" fontId="34" fillId="0" borderId="72" xfId="0" applyNumberFormat="1" applyFont="1" applyBorder="1" applyAlignment="1">
      <alignment horizontal="center"/>
    </xf>
    <xf numFmtId="3" fontId="34" fillId="0" borderId="34" xfId="0" applyNumberFormat="1" applyFont="1" applyFill="1" applyBorder="1" applyAlignment="1">
      <alignment horizontal="center"/>
    </xf>
    <xf numFmtId="0" fontId="33" fillId="0" borderId="0" xfId="0" applyFont="1" applyBorder="1" applyAlignment="1">
      <alignment horizontal="center"/>
    </xf>
    <xf numFmtId="0" fontId="83" fillId="0" borderId="1" xfId="0" applyFont="1" applyBorder="1"/>
    <xf numFmtId="0" fontId="33" fillId="0" borderId="14" xfId="0" applyFont="1" applyBorder="1"/>
    <xf numFmtId="0" fontId="33" fillId="0" borderId="14" xfId="0" applyFont="1" applyBorder="1" applyAlignment="1">
      <alignment horizontal="center"/>
    </xf>
    <xf numFmtId="0" fontId="33" fillId="0" borderId="29" xfId="0" applyFont="1" applyBorder="1" applyAlignment="1">
      <alignment horizontal="center"/>
    </xf>
    <xf numFmtId="0" fontId="33" fillId="0" borderId="43" xfId="0" applyFont="1" applyBorder="1" applyAlignment="1">
      <alignment horizontal="center"/>
    </xf>
    <xf numFmtId="0" fontId="3" fillId="0" borderId="8" xfId="0" applyFont="1" applyBorder="1" applyAlignment="1">
      <alignment horizontal="center"/>
    </xf>
    <xf numFmtId="0" fontId="3" fillId="0" borderId="1" xfId="0" applyFont="1" applyFill="1" applyBorder="1" applyAlignment="1">
      <alignment horizontal="center"/>
    </xf>
    <xf numFmtId="0" fontId="33" fillId="0" borderId="1" xfId="0" applyFont="1" applyBorder="1" applyAlignment="1"/>
    <xf numFmtId="0" fontId="3" fillId="0" borderId="0" xfId="0" applyFont="1" applyBorder="1" applyAlignment="1">
      <alignment horizontal="center"/>
    </xf>
    <xf numFmtId="0" fontId="34" fillId="0" borderId="14" xfId="0" applyFont="1" applyBorder="1" applyAlignment="1">
      <alignment horizontal="center"/>
    </xf>
    <xf numFmtId="0" fontId="3" fillId="0" borderId="17" xfId="0" applyFont="1" applyBorder="1" applyAlignment="1">
      <alignment horizontal="center"/>
    </xf>
    <xf numFmtId="0" fontId="84" fillId="0" borderId="1" xfId="0" applyFont="1" applyBorder="1"/>
    <xf numFmtId="0" fontId="34" fillId="7" borderId="70" xfId="0" applyFont="1" applyFill="1" applyBorder="1" applyAlignment="1">
      <alignment horizontal="center"/>
    </xf>
    <xf numFmtId="0" fontId="34" fillId="7" borderId="5" xfId="0" applyFont="1" applyFill="1" applyBorder="1" applyAlignment="1">
      <alignment horizontal="center"/>
    </xf>
    <xf numFmtId="0" fontId="33" fillId="8" borderId="29" xfId="0" applyFont="1" applyFill="1" applyBorder="1" applyAlignment="1">
      <alignment horizontal="center"/>
    </xf>
    <xf numFmtId="0" fontId="33" fillId="8" borderId="1" xfId="0" applyFont="1" applyFill="1" applyBorder="1" applyAlignment="1">
      <alignment horizontal="center"/>
    </xf>
    <xf numFmtId="0" fontId="0" fillId="8" borderId="1" xfId="0" applyFill="1" applyBorder="1" applyAlignment="1">
      <alignment horizontal="right"/>
    </xf>
    <xf numFmtId="0" fontId="34" fillId="7" borderId="71" xfId="0" applyFont="1" applyFill="1" applyBorder="1" applyAlignment="1">
      <alignment horizontal="center"/>
    </xf>
    <xf numFmtId="0" fontId="34" fillId="7" borderId="0" xfId="0" applyFont="1" applyFill="1" applyBorder="1" applyAlignment="1">
      <alignment horizontal="center"/>
    </xf>
    <xf numFmtId="0" fontId="84" fillId="8" borderId="6" xfId="0" applyFont="1" applyFill="1" applyBorder="1"/>
    <xf numFmtId="0" fontId="33" fillId="7" borderId="71" xfId="0" applyFont="1" applyFill="1" applyBorder="1"/>
    <xf numFmtId="0" fontId="33" fillId="7" borderId="0" xfId="0" applyFont="1" applyFill="1" applyBorder="1"/>
    <xf numFmtId="1" fontId="33" fillId="8" borderId="1" xfId="0" applyNumberFormat="1" applyFont="1" applyFill="1" applyBorder="1" applyAlignment="1">
      <alignment horizontal="center"/>
    </xf>
    <xf numFmtId="0" fontId="84" fillId="8" borderId="1" xfId="0" applyFont="1" applyFill="1" applyBorder="1"/>
    <xf numFmtId="0" fontId="40" fillId="9" borderId="1" xfId="0" applyFont="1" applyFill="1" applyBorder="1" applyAlignment="1">
      <alignment horizontal="center"/>
    </xf>
    <xf numFmtId="0" fontId="33" fillId="9" borderId="1" xfId="0" applyFont="1" applyFill="1" applyBorder="1"/>
    <xf numFmtId="0" fontId="33" fillId="9" borderId="41" xfId="0" applyFont="1" applyFill="1" applyBorder="1"/>
    <xf numFmtId="0" fontId="33" fillId="9" borderId="29" xfId="0" applyFont="1" applyFill="1" applyBorder="1" applyAlignment="1">
      <alignment horizontal="center"/>
    </xf>
    <xf numFmtId="0" fontId="0" fillId="9" borderId="1" xfId="0" applyFill="1" applyBorder="1" applyAlignment="1">
      <alignment horizontal="right"/>
    </xf>
    <xf numFmtId="0" fontId="33" fillId="8" borderId="71" xfId="0" applyFont="1" applyFill="1" applyBorder="1"/>
    <xf numFmtId="0" fontId="33" fillId="8" borderId="0" xfId="0" applyFont="1" applyFill="1" applyBorder="1"/>
    <xf numFmtId="2" fontId="33" fillId="8" borderId="1" xfId="0" applyNumberFormat="1" applyFont="1" applyFill="1" applyBorder="1" applyAlignment="1">
      <alignment horizontal="center"/>
    </xf>
    <xf numFmtId="0" fontId="40" fillId="8" borderId="6" xfId="0" applyFont="1" applyFill="1" applyBorder="1"/>
    <xf numFmtId="0" fontId="34" fillId="8" borderId="14" xfId="0" applyFont="1" applyFill="1" applyBorder="1" applyAlignment="1">
      <alignment horizontal="center"/>
    </xf>
    <xf numFmtId="0" fontId="34" fillId="8" borderId="29" xfId="0" applyFont="1" applyFill="1" applyBorder="1" applyAlignment="1">
      <alignment horizontal="center"/>
    </xf>
    <xf numFmtId="0" fontId="40" fillId="10" borderId="1" xfId="0" applyFont="1" applyFill="1" applyBorder="1" applyAlignment="1">
      <alignment horizontal="center"/>
    </xf>
    <xf numFmtId="0" fontId="33" fillId="10" borderId="1" xfId="0" applyFont="1" applyFill="1" applyBorder="1"/>
    <xf numFmtId="0" fontId="33" fillId="10" borderId="41" xfId="0" applyFont="1" applyFill="1" applyBorder="1"/>
    <xf numFmtId="0" fontId="33" fillId="10" borderId="29" xfId="0" applyFont="1" applyFill="1" applyBorder="1" applyAlignment="1">
      <alignment horizontal="center"/>
    </xf>
    <xf numFmtId="1" fontId="33" fillId="10" borderId="1" xfId="0" applyNumberFormat="1" applyFont="1" applyFill="1" applyBorder="1" applyAlignment="1">
      <alignment horizontal="center"/>
    </xf>
    <xf numFmtId="0" fontId="0" fillId="10" borderId="1" xfId="0" applyFill="1" applyBorder="1" applyAlignment="1">
      <alignment horizontal="right"/>
    </xf>
    <xf numFmtId="0" fontId="40" fillId="11" borderId="1" xfId="0" applyFont="1" applyFill="1" applyBorder="1" applyAlignment="1">
      <alignment horizontal="center"/>
    </xf>
    <xf numFmtId="0" fontId="34" fillId="11" borderId="14" xfId="0" applyFont="1" applyFill="1" applyBorder="1" applyAlignment="1"/>
    <xf numFmtId="0" fontId="34" fillId="11" borderId="29" xfId="0" applyFont="1" applyFill="1" applyBorder="1" applyAlignment="1"/>
    <xf numFmtId="0" fontId="33" fillId="0" borderId="71" xfId="0" applyFont="1" applyBorder="1"/>
    <xf numFmtId="0" fontId="33" fillId="0" borderId="14" xfId="0" applyFont="1" applyBorder="1" applyAlignment="1"/>
    <xf numFmtId="0" fontId="33" fillId="0" borderId="29" xfId="0" applyFont="1" applyBorder="1" applyAlignment="1"/>
    <xf numFmtId="0" fontId="40" fillId="0" borderId="1" xfId="0" applyFont="1" applyBorder="1"/>
    <xf numFmtId="0" fontId="33" fillId="0" borderId="0" xfId="0" applyFont="1" applyAlignment="1">
      <alignment horizontal="center"/>
    </xf>
    <xf numFmtId="0" fontId="40" fillId="12" borderId="1" xfId="0" applyFont="1" applyFill="1" applyBorder="1" applyAlignment="1">
      <alignment horizontal="center"/>
    </xf>
    <xf numFmtId="0" fontId="33" fillId="12" borderId="1" xfId="0" applyFont="1" applyFill="1" applyBorder="1"/>
    <xf numFmtId="0" fontId="33" fillId="12" borderId="14" xfId="0" applyFont="1" applyFill="1" applyBorder="1"/>
    <xf numFmtId="0" fontId="34" fillId="12" borderId="1" xfId="0" applyFont="1" applyFill="1" applyBorder="1" applyAlignment="1">
      <alignment horizontal="center"/>
    </xf>
    <xf numFmtId="1" fontId="33" fillId="12" borderId="1" xfId="0" applyNumberFormat="1" applyFont="1" applyFill="1" applyBorder="1" applyAlignment="1">
      <alignment horizontal="center"/>
    </xf>
    <xf numFmtId="0" fontId="34" fillId="0" borderId="1" xfId="0" applyFont="1" applyBorder="1"/>
    <xf numFmtId="0" fontId="113" fillId="0" borderId="45" xfId="0" applyFont="1" applyBorder="1" applyAlignment="1">
      <alignment horizontal="right"/>
    </xf>
    <xf numFmtId="0" fontId="114" fillId="0" borderId="45" xfId="0" applyFont="1" applyBorder="1" applyAlignment="1">
      <alignment horizontal="right"/>
    </xf>
    <xf numFmtId="3" fontId="110" fillId="0" borderId="16" xfId="0" applyNumberFormat="1" applyFont="1" applyBorder="1"/>
    <xf numFmtId="3" fontId="110" fillId="4" borderId="16" xfId="0" applyNumberFormat="1" applyFont="1" applyFill="1" applyBorder="1" applyAlignment="1">
      <alignment horizontal="right"/>
    </xf>
    <xf numFmtId="0" fontId="88" fillId="2" borderId="0" xfId="0" applyFont="1" applyFill="1" applyBorder="1" applyAlignment="1">
      <alignment horizontal="center"/>
    </xf>
    <xf numFmtId="0" fontId="2" fillId="2" borderId="0" xfId="0" applyFont="1" applyFill="1" applyAlignment="1">
      <alignment horizontal="left"/>
    </xf>
    <xf numFmtId="0" fontId="10" fillId="2" borderId="0" xfId="0" applyFont="1" applyFill="1" applyAlignment="1">
      <alignment horizontal="left"/>
    </xf>
    <xf numFmtId="49" fontId="2" fillId="2" borderId="0" xfId="0" applyNumberFormat="1" applyFont="1" applyFill="1" applyBorder="1" applyAlignment="1">
      <alignment horizontal="right"/>
    </xf>
    <xf numFmtId="0" fontId="2" fillId="0" borderId="0" xfId="0" applyFont="1" applyFill="1" applyBorder="1" applyAlignment="1">
      <alignment horizontal="left"/>
    </xf>
    <xf numFmtId="0" fontId="5" fillId="2" borderId="0" xfId="0" applyFont="1" applyFill="1" applyAlignment="1"/>
    <xf numFmtId="0" fontId="5" fillId="2" borderId="0" xfId="0" applyFont="1" applyFill="1"/>
    <xf numFmtId="0" fontId="5" fillId="2" borderId="0" xfId="0" applyFont="1" applyFill="1" applyAlignment="1">
      <alignment horizontal="right"/>
    </xf>
    <xf numFmtId="0" fontId="2" fillId="2" borderId="0" xfId="0" applyFont="1" applyFill="1" applyAlignment="1">
      <alignment horizontal="center"/>
    </xf>
    <xf numFmtId="0" fontId="10" fillId="2" borderId="0" xfId="0" applyFont="1" applyFill="1" applyAlignment="1">
      <alignment horizontal="right"/>
    </xf>
    <xf numFmtId="0" fontId="5" fillId="2" borderId="0" xfId="0" applyFont="1" applyFill="1" applyBorder="1" applyAlignment="1">
      <alignment vertical="center" wrapText="1"/>
    </xf>
    <xf numFmtId="0" fontId="2" fillId="2" borderId="0" xfId="0" applyFont="1" applyFill="1" applyAlignment="1">
      <alignment vertical="center" wrapText="1"/>
    </xf>
    <xf numFmtId="0" fontId="2" fillId="2" borderId="0" xfId="0" applyFont="1" applyFill="1" applyBorder="1" applyAlignment="1">
      <alignment vertical="center" wrapText="1"/>
    </xf>
    <xf numFmtId="0" fontId="5" fillId="0" borderId="0" xfId="0" applyFont="1" applyAlignment="1">
      <alignment horizontal="right"/>
    </xf>
    <xf numFmtId="0" fontId="54" fillId="2" borderId="0" xfId="0" applyFont="1" applyFill="1" applyBorder="1" applyAlignment="1">
      <alignment horizontal="left" vertical="center" wrapText="1"/>
    </xf>
    <xf numFmtId="0" fontId="84" fillId="2" borderId="0" xfId="0" applyFont="1" applyFill="1" applyBorder="1"/>
    <xf numFmtId="0" fontId="90" fillId="2" borderId="0" xfId="0" applyFont="1" applyFill="1" applyBorder="1"/>
    <xf numFmtId="0" fontId="53" fillId="4" borderId="0" xfId="0" applyFont="1" applyFill="1" applyBorder="1"/>
    <xf numFmtId="0" fontId="84" fillId="0" borderId="0" xfId="0" applyFont="1" applyBorder="1"/>
    <xf numFmtId="0" fontId="84" fillId="2" borderId="0" xfId="0" applyFont="1" applyFill="1" applyBorder="1" applyAlignment="1">
      <alignment horizontal="right"/>
    </xf>
    <xf numFmtId="0" fontId="3" fillId="0" borderId="0" xfId="0" applyFont="1" applyBorder="1" applyAlignment="1"/>
    <xf numFmtId="3" fontId="28" fillId="3" borderId="35" xfId="0" applyNumberFormat="1" applyFont="1" applyFill="1" applyBorder="1" applyAlignment="1">
      <alignment horizontal="right"/>
    </xf>
    <xf numFmtId="3" fontId="28" fillId="3" borderId="51" xfId="0" applyNumberFormat="1" applyFont="1" applyFill="1" applyBorder="1" applyAlignment="1">
      <alignment horizontal="right"/>
    </xf>
    <xf numFmtId="3" fontId="58" fillId="3" borderId="16" xfId="0" applyNumberFormat="1" applyFont="1" applyFill="1" applyBorder="1" applyAlignment="1"/>
    <xf numFmtId="3" fontId="46" fillId="3" borderId="54" xfId="0" applyNumberFormat="1" applyFont="1" applyFill="1" applyBorder="1" applyAlignment="1">
      <alignment horizontal="right"/>
    </xf>
    <xf numFmtId="3" fontId="3" fillId="0" borderId="0" xfId="0" applyNumberFormat="1" applyFont="1" applyBorder="1" applyAlignment="1"/>
    <xf numFmtId="0" fontId="54" fillId="2" borderId="0" xfId="0" applyFont="1" applyFill="1" applyBorder="1" applyAlignment="1">
      <alignment horizontal="center" vertical="center" wrapText="1"/>
    </xf>
    <xf numFmtId="0" fontId="44" fillId="3" borderId="11" xfId="0" applyFont="1" applyFill="1" applyBorder="1" applyAlignment="1">
      <alignment horizontal="center" textRotation="90" wrapText="1"/>
    </xf>
    <xf numFmtId="3" fontId="45" fillId="6" borderId="11" xfId="0" applyNumberFormat="1" applyFont="1" applyFill="1" applyBorder="1" applyAlignment="1">
      <alignment horizontal="center" vertical="center"/>
    </xf>
    <xf numFmtId="3" fontId="112" fillId="0" borderId="11" xfId="0" applyNumberFormat="1" applyFont="1" applyBorder="1" applyAlignment="1">
      <alignment horizontal="center" vertical="center"/>
    </xf>
    <xf numFmtId="0" fontId="110" fillId="0" borderId="1" xfId="0" applyFont="1" applyBorder="1"/>
    <xf numFmtId="0" fontId="115" fillId="0" borderId="1" xfId="0" applyFont="1" applyBorder="1"/>
    <xf numFmtId="0" fontId="110" fillId="8" borderId="1" xfId="0" applyFont="1" applyFill="1" applyBorder="1"/>
    <xf numFmtId="0" fontId="115" fillId="8" borderId="1" xfId="0" applyFont="1" applyFill="1" applyBorder="1" applyAlignment="1">
      <alignment horizontal="center"/>
    </xf>
    <xf numFmtId="0" fontId="115" fillId="9" borderId="29" xfId="0" applyFont="1" applyFill="1" applyBorder="1" applyAlignment="1">
      <alignment horizontal="center"/>
    </xf>
    <xf numFmtId="0" fontId="110" fillId="10" borderId="1" xfId="0" applyFont="1" applyFill="1" applyBorder="1"/>
    <xf numFmtId="167" fontId="0" fillId="0" borderId="0" xfId="1" applyNumberFormat="1" applyFont="1" applyFill="1" applyBorder="1"/>
    <xf numFmtId="3" fontId="48" fillId="0" borderId="0" xfId="0" applyNumberFormat="1" applyFont="1" applyBorder="1" applyAlignment="1">
      <alignment horizontal="right"/>
    </xf>
    <xf numFmtId="3" fontId="45" fillId="13" borderId="0" xfId="0" applyNumberFormat="1" applyFont="1" applyFill="1" applyBorder="1" applyAlignment="1">
      <alignment horizontal="right"/>
    </xf>
    <xf numFmtId="3" fontId="16" fillId="8" borderId="0" xfId="0" applyNumberFormat="1" applyFont="1" applyFill="1" applyBorder="1"/>
    <xf numFmtId="3" fontId="50" fillId="13" borderId="0" xfId="0" applyNumberFormat="1" applyFont="1" applyFill="1" applyBorder="1" applyAlignment="1">
      <alignment horizontal="right"/>
    </xf>
    <xf numFmtId="0" fontId="16" fillId="8" borderId="0" xfId="0" applyFont="1" applyFill="1" applyBorder="1"/>
    <xf numFmtId="0" fontId="3" fillId="8" borderId="0" xfId="0" applyFont="1" applyFill="1" applyBorder="1"/>
    <xf numFmtId="3" fontId="3" fillId="8" borderId="0" xfId="0" applyNumberFormat="1" applyFont="1" applyFill="1" applyBorder="1"/>
    <xf numFmtId="0" fontId="28" fillId="8" borderId="0" xfId="0" applyFont="1" applyFill="1" applyBorder="1"/>
    <xf numFmtId="3" fontId="46" fillId="13" borderId="0" xfId="0" applyNumberFormat="1" applyFont="1" applyFill="1" applyBorder="1" applyAlignment="1">
      <alignment horizontal="right"/>
    </xf>
    <xf numFmtId="0" fontId="1" fillId="8" borderId="0" xfId="0" applyFont="1" applyFill="1" applyBorder="1"/>
    <xf numFmtId="0" fontId="44" fillId="8" borderId="0" xfId="0" applyFont="1" applyFill="1" applyBorder="1"/>
    <xf numFmtId="3" fontId="59" fillId="8" borderId="0" xfId="0" applyNumberFormat="1" applyFont="1" applyFill="1" applyBorder="1" applyAlignment="1">
      <alignment horizontal="right"/>
    </xf>
    <xf numFmtId="3" fontId="78" fillId="8" borderId="0" xfId="0" applyNumberFormat="1" applyFont="1" applyFill="1" applyBorder="1" applyAlignment="1">
      <alignment horizontal="right"/>
    </xf>
    <xf numFmtId="3" fontId="57" fillId="8" borderId="0" xfId="0" applyNumberFormat="1" applyFont="1" applyFill="1" applyBorder="1" applyAlignment="1">
      <alignment horizontal="right"/>
    </xf>
    <xf numFmtId="0" fontId="0" fillId="8" borderId="0" xfId="0" applyFill="1" applyBorder="1"/>
    <xf numFmtId="3" fontId="50" fillId="8" borderId="0" xfId="0" applyNumberFormat="1" applyFont="1" applyFill="1" applyBorder="1" applyAlignment="1">
      <alignment horizontal="right"/>
    </xf>
    <xf numFmtId="3" fontId="45" fillId="8" borderId="0" xfId="0" applyNumberFormat="1" applyFont="1" applyFill="1" applyBorder="1" applyAlignment="1">
      <alignment horizontal="right"/>
    </xf>
    <xf numFmtId="3" fontId="0" fillId="8" borderId="0" xfId="0" applyNumberFormat="1" applyFill="1" applyBorder="1"/>
    <xf numFmtId="3" fontId="50" fillId="14" borderId="0" xfId="0" applyNumberFormat="1" applyFont="1" applyFill="1" applyBorder="1" applyAlignment="1">
      <alignment horizontal="right"/>
    </xf>
    <xf numFmtId="3" fontId="3" fillId="8" borderId="0" xfId="0" applyNumberFormat="1" applyFont="1" applyFill="1" applyBorder="1" applyAlignment="1">
      <alignment horizontal="right"/>
    </xf>
    <xf numFmtId="3" fontId="45" fillId="14" borderId="0" xfId="0" applyNumberFormat="1" applyFont="1" applyFill="1" applyBorder="1" applyAlignment="1">
      <alignment horizontal="right"/>
    </xf>
    <xf numFmtId="0" fontId="58" fillId="8" borderId="0" xfId="0" applyFont="1" applyFill="1" applyBorder="1"/>
    <xf numFmtId="3" fontId="55" fillId="14" borderId="0" xfId="0" applyNumberFormat="1" applyFont="1" applyFill="1" applyBorder="1" applyAlignment="1">
      <alignment horizontal="right"/>
    </xf>
    <xf numFmtId="0" fontId="88" fillId="8" borderId="0" xfId="0" applyFont="1" applyFill="1" applyBorder="1"/>
    <xf numFmtId="0" fontId="27" fillId="8" borderId="0" xfId="0" applyFont="1" applyFill="1" applyBorder="1"/>
    <xf numFmtId="0" fontId="0" fillId="8" borderId="0" xfId="0" applyFill="1" applyBorder="1" applyAlignment="1">
      <alignment horizontal="right"/>
    </xf>
    <xf numFmtId="3" fontId="78" fillId="14" borderId="0" xfId="0" applyNumberFormat="1" applyFont="1" applyFill="1" applyBorder="1" applyAlignment="1">
      <alignment horizontal="right"/>
    </xf>
    <xf numFmtId="0" fontId="78" fillId="8" borderId="0" xfId="0" applyFont="1" applyFill="1" applyBorder="1"/>
    <xf numFmtId="3" fontId="53" fillId="14" borderId="0" xfId="0" applyNumberFormat="1" applyFont="1" applyFill="1" applyBorder="1"/>
    <xf numFmtId="3" fontId="16" fillId="3" borderId="11"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0" fontId="33" fillId="9" borderId="29" xfId="0" applyFont="1" applyFill="1" applyBorder="1" applyAlignment="1">
      <alignment horizontal="center"/>
    </xf>
    <xf numFmtId="0" fontId="34" fillId="8" borderId="14" xfId="0" applyFont="1" applyFill="1" applyBorder="1" applyAlignment="1">
      <alignment horizontal="center"/>
    </xf>
    <xf numFmtId="0" fontId="34" fillId="8" borderId="29" xfId="0" applyFont="1" applyFill="1" applyBorder="1" applyAlignment="1">
      <alignment horizontal="center"/>
    </xf>
    <xf numFmtId="0" fontId="33" fillId="10" borderId="29" xfId="0" applyFont="1" applyFill="1" applyBorder="1" applyAlignment="1">
      <alignment horizontal="center"/>
    </xf>
    <xf numFmtId="3" fontId="45" fillId="13" borderId="11" xfId="0" applyNumberFormat="1" applyFont="1" applyFill="1" applyBorder="1" applyAlignment="1">
      <alignment horizontal="center" vertical="center"/>
    </xf>
    <xf numFmtId="3" fontId="3" fillId="13" borderId="11" xfId="0" applyNumberFormat="1" applyFont="1" applyFill="1" applyBorder="1" applyAlignment="1">
      <alignment horizontal="right" vertical="center"/>
    </xf>
    <xf numFmtId="3" fontId="45" fillId="13" borderId="11" xfId="0" applyNumberFormat="1" applyFont="1" applyFill="1" applyBorder="1" applyAlignment="1">
      <alignment horizontal="center"/>
    </xf>
    <xf numFmtId="3" fontId="3" fillId="13" borderId="11" xfId="0" applyNumberFormat="1" applyFont="1" applyFill="1" applyBorder="1" applyAlignment="1">
      <alignment horizontal="right"/>
    </xf>
    <xf numFmtId="3" fontId="45" fillId="6" borderId="11" xfId="0" applyNumberFormat="1" applyFont="1" applyFill="1" applyBorder="1" applyAlignment="1">
      <alignment horizontal="right" vertical="center"/>
    </xf>
    <xf numFmtId="0" fontId="3" fillId="13" borderId="13" xfId="0" applyFont="1" applyFill="1" applyBorder="1" applyAlignment="1">
      <alignment horizontal="center" vertical="center"/>
    </xf>
    <xf numFmtId="0" fontId="3" fillId="13" borderId="13" xfId="0" applyFont="1" applyFill="1" applyBorder="1" applyAlignment="1">
      <alignment horizontal="center"/>
    </xf>
    <xf numFmtId="0" fontId="3" fillId="6" borderId="13" xfId="0" applyFont="1" applyFill="1" applyBorder="1" applyAlignment="1">
      <alignment horizontal="center" vertical="center"/>
    </xf>
    <xf numFmtId="0" fontId="49" fillId="0" borderId="13" xfId="0" applyFont="1" applyBorder="1" applyAlignment="1">
      <alignment horizontal="center"/>
    </xf>
    <xf numFmtId="0" fontId="3" fillId="3" borderId="67" xfId="0" applyFont="1" applyFill="1" applyBorder="1" applyAlignment="1">
      <alignment horizontal="center" vertical="center" wrapText="1"/>
    </xf>
    <xf numFmtId="0" fontId="34" fillId="3" borderId="47" xfId="0" applyFont="1" applyFill="1" applyBorder="1" applyAlignment="1">
      <alignment horizontal="center" vertical="center" wrapText="1"/>
    </xf>
    <xf numFmtId="0" fontId="3" fillId="13" borderId="61" xfId="0" applyFont="1" applyFill="1" applyBorder="1" applyAlignment="1">
      <alignment horizontal="left" vertical="center"/>
    </xf>
    <xf numFmtId="0" fontId="3" fillId="13" borderId="61" xfId="0" applyFont="1" applyFill="1" applyBorder="1" applyAlignment="1">
      <alignment horizontal="left"/>
    </xf>
    <xf numFmtId="0" fontId="3" fillId="6" borderId="61" xfId="0" applyFont="1" applyFill="1" applyBorder="1" applyAlignment="1">
      <alignment horizontal="left" vertical="center"/>
    </xf>
    <xf numFmtId="0" fontId="49" fillId="0" borderId="61" xfId="0" applyFont="1" applyBorder="1"/>
    <xf numFmtId="0" fontId="51" fillId="0" borderId="39" xfId="0" applyFont="1" applyBorder="1"/>
    <xf numFmtId="0" fontId="51" fillId="0" borderId="73" xfId="0" applyFont="1" applyBorder="1"/>
    <xf numFmtId="0" fontId="51" fillId="0" borderId="2" xfId="0" applyFont="1" applyBorder="1"/>
    <xf numFmtId="0" fontId="51" fillId="0" borderId="74" xfId="0" applyFont="1" applyBorder="1"/>
    <xf numFmtId="0" fontId="12" fillId="0" borderId="2" xfId="0" applyFont="1" applyBorder="1"/>
    <xf numFmtId="0" fontId="12" fillId="0" borderId="4" xfId="0" applyFont="1" applyBorder="1"/>
    <xf numFmtId="0" fontId="113" fillId="0" borderId="2" xfId="0" applyFont="1" applyBorder="1" applyAlignment="1">
      <alignment horizontal="right"/>
    </xf>
    <xf numFmtId="0" fontId="114" fillId="0" borderId="2" xfId="0" applyFont="1" applyBorder="1" applyAlignment="1">
      <alignment horizontal="right"/>
    </xf>
    <xf numFmtId="3" fontId="40" fillId="4" borderId="0" xfId="0" applyNumberFormat="1" applyFont="1" applyFill="1" applyBorder="1" applyAlignment="1"/>
    <xf numFmtId="3" fontId="48" fillId="4" borderId="11" xfId="0" applyNumberFormat="1" applyFont="1" applyFill="1" applyBorder="1" applyAlignment="1">
      <alignment horizontal="right"/>
    </xf>
    <xf numFmtId="167" fontId="50" fillId="0" borderId="51" xfId="1" applyNumberFormat="1" applyFont="1" applyBorder="1" applyAlignment="1">
      <alignment horizontal="right"/>
    </xf>
    <xf numFmtId="0" fontId="6" fillId="2" borderId="0" xfId="0" applyFont="1" applyFill="1" applyBorder="1" applyAlignment="1">
      <alignment horizontal="left"/>
    </xf>
    <xf numFmtId="0" fontId="7" fillId="0" borderId="0" xfId="0" applyFont="1" applyBorder="1"/>
    <xf numFmtId="0" fontId="6" fillId="2" borderId="0" xfId="0" applyFont="1" applyFill="1" applyBorder="1"/>
    <xf numFmtId="0" fontId="7" fillId="2" borderId="0" xfId="0" applyFont="1" applyFill="1" applyBorder="1"/>
    <xf numFmtId="0" fontId="6" fillId="2" borderId="0" xfId="0" applyFont="1" applyFill="1" applyBorder="1" applyAlignment="1">
      <alignment horizontal="center"/>
    </xf>
    <xf numFmtId="0" fontId="11" fillId="2" borderId="0" xfId="0" applyFont="1" applyFill="1" applyBorder="1" applyAlignment="1">
      <alignment horizontal="center"/>
    </xf>
    <xf numFmtId="0" fontId="10" fillId="2" borderId="0" xfId="0" applyFont="1" applyFill="1" applyAlignment="1">
      <alignment horizontal="center"/>
    </xf>
    <xf numFmtId="0" fontId="7" fillId="2" borderId="0" xfId="0" applyFont="1" applyFill="1" applyBorder="1" applyAlignment="1">
      <alignment vertical="center" wrapText="1"/>
    </xf>
    <xf numFmtId="0" fontId="6" fillId="2" borderId="0" xfId="0" applyFont="1" applyFill="1" applyBorder="1" applyAlignment="1">
      <alignment vertical="center" wrapText="1"/>
    </xf>
    <xf numFmtId="0" fontId="12" fillId="2" borderId="0" xfId="0" applyFont="1" applyFill="1" applyBorder="1" applyAlignment="1">
      <alignment vertical="center" wrapText="1"/>
    </xf>
    <xf numFmtId="0" fontId="10" fillId="2" borderId="0" xfId="0" applyFont="1" applyFill="1" applyAlignment="1">
      <alignment horizontal="center" vertical="center" wrapText="1"/>
    </xf>
    <xf numFmtId="0" fontId="10" fillId="0" borderId="33"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10" fillId="0" borderId="21" xfId="0" applyFont="1" applyBorder="1" applyAlignment="1">
      <alignment horizontal="center" vertical="center" textRotation="90" wrapText="1"/>
    </xf>
    <xf numFmtId="0" fontId="6" fillId="3" borderId="23" xfId="0" applyFont="1" applyFill="1" applyBorder="1" applyAlignment="1">
      <alignment horizontal="center" vertical="center" wrapText="1"/>
    </xf>
    <xf numFmtId="0" fontId="9" fillId="3" borderId="11" xfId="0" applyFont="1" applyFill="1" applyBorder="1" applyAlignment="1">
      <alignment horizontal="center" vertical="center" textRotation="90" wrapText="1"/>
    </xf>
    <xf numFmtId="0" fontId="9" fillId="3" borderId="11" xfId="0" applyFont="1" applyFill="1" applyBorder="1" applyAlignment="1">
      <alignment horizontal="center" textRotation="90" wrapText="1"/>
    </xf>
    <xf numFmtId="0" fontId="9" fillId="3" borderId="11" xfId="0" applyFont="1" applyFill="1" applyBorder="1" applyAlignment="1">
      <alignment horizontal="right" vertical="center" textRotation="90" wrapText="1"/>
    </xf>
    <xf numFmtId="49" fontId="10" fillId="2" borderId="11"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49" fontId="93"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3" fillId="2" borderId="11" xfId="0" applyFont="1" applyFill="1" applyBorder="1" applyAlignment="1">
      <alignment horizontal="center" vertical="center" wrapText="1"/>
    </xf>
    <xf numFmtId="0" fontId="10" fillId="2" borderId="12" xfId="0" applyFont="1" applyFill="1" applyBorder="1"/>
    <xf numFmtId="0" fontId="10" fillId="2" borderId="11" xfId="0" applyFont="1" applyFill="1" applyBorder="1" applyAlignment="1">
      <alignment horizontal="right"/>
    </xf>
    <xf numFmtId="0" fontId="54" fillId="3" borderId="13"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7" fillId="3" borderId="5" xfId="0" applyFont="1" applyFill="1" applyBorder="1" applyAlignment="1">
      <alignment vertical="center" wrapText="1"/>
    </xf>
    <xf numFmtId="3" fontId="9" fillId="3" borderId="15" xfId="0" applyNumberFormat="1" applyFont="1" applyFill="1" applyBorder="1" applyAlignment="1">
      <alignment horizontal="center" vertical="center" wrapText="1"/>
    </xf>
    <xf numFmtId="3" fontId="9" fillId="3" borderId="15" xfId="0" applyNumberFormat="1" applyFont="1" applyFill="1" applyBorder="1" applyAlignment="1">
      <alignment horizontal="right" vertical="center" wrapText="1"/>
    </xf>
    <xf numFmtId="3" fontId="9" fillId="3" borderId="51" xfId="0" applyNumberFormat="1" applyFont="1" applyFill="1" applyBorder="1" applyAlignment="1">
      <alignment horizontal="right" vertical="center" wrapText="1"/>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7" fillId="3" borderId="41" xfId="0" applyFont="1" applyFill="1" applyBorder="1" applyAlignment="1">
      <alignment vertical="center" wrapText="1"/>
    </xf>
    <xf numFmtId="3" fontId="9" fillId="3" borderId="16" xfId="0" applyNumberFormat="1" applyFont="1" applyFill="1" applyBorder="1" applyAlignment="1">
      <alignment horizontal="center" vertical="center" wrapText="1"/>
    </xf>
    <xf numFmtId="3" fontId="9" fillId="3" borderId="16" xfId="0" applyNumberFormat="1" applyFont="1" applyFill="1" applyBorder="1" applyAlignment="1">
      <alignment horizontal="right" vertical="center" wrapText="1"/>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7" fillId="3" borderId="43" xfId="0" applyFont="1" applyFill="1" applyBorder="1" applyAlignment="1">
      <alignment vertical="center" wrapText="1"/>
    </xf>
    <xf numFmtId="3" fontId="9" fillId="3" borderId="18" xfId="0" applyNumberFormat="1" applyFont="1" applyFill="1" applyBorder="1" applyAlignment="1">
      <alignment horizontal="center" vertical="center" wrapText="1"/>
    </xf>
    <xf numFmtId="3" fontId="9" fillId="3" borderId="18" xfId="0" applyNumberFormat="1" applyFont="1" applyFill="1" applyBorder="1" applyAlignment="1">
      <alignment horizontal="right" vertical="center" wrapText="1"/>
    </xf>
    <xf numFmtId="0" fontId="6" fillId="2" borderId="1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54" fillId="3" borderId="30" xfId="0" applyFont="1" applyFill="1" applyBorder="1" applyAlignment="1">
      <alignment horizontal="center" vertical="center" wrapText="1"/>
    </xf>
    <xf numFmtId="3" fontId="6" fillId="3" borderId="11" xfId="0" applyNumberFormat="1" applyFont="1" applyFill="1" applyBorder="1" applyAlignment="1">
      <alignment horizontal="center" vertical="center" wrapText="1"/>
    </xf>
    <xf numFmtId="3" fontId="6" fillId="3" borderId="11" xfId="0" applyNumberFormat="1" applyFont="1" applyFill="1" applyBorder="1" applyAlignment="1">
      <alignment horizontal="right"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9" fillId="5" borderId="30" xfId="0" applyFont="1" applyFill="1" applyBorder="1"/>
    <xf numFmtId="0" fontId="6" fillId="5" borderId="11" xfId="0" applyFont="1" applyFill="1" applyBorder="1"/>
    <xf numFmtId="0" fontId="6" fillId="6" borderId="13" xfId="0" applyFont="1" applyFill="1" applyBorder="1" applyAlignment="1">
      <alignment horizontal="left"/>
    </xf>
    <xf numFmtId="3" fontId="94" fillId="6" borderId="11" xfId="0" applyNumberFormat="1" applyFont="1" applyFill="1" applyBorder="1" applyAlignment="1">
      <alignment horizontal="center"/>
    </xf>
    <xf numFmtId="3" fontId="6" fillId="6" borderId="11" xfId="0" applyNumberFormat="1" applyFont="1" applyFill="1" applyBorder="1" applyAlignment="1">
      <alignment horizontal="right"/>
    </xf>
    <xf numFmtId="49" fontId="6" fillId="2" borderId="4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xf numFmtId="0" fontId="12" fillId="2" borderId="15" xfId="0" applyFont="1" applyFill="1" applyBorder="1" applyAlignment="1">
      <alignment horizontal="right"/>
    </xf>
    <xf numFmtId="0" fontId="12" fillId="3" borderId="44" xfId="0" applyFont="1" applyFill="1" applyBorder="1" applyAlignment="1">
      <alignment horizontal="left"/>
    </xf>
    <xf numFmtId="3" fontId="116" fillId="3" borderId="15" xfId="0" applyNumberFormat="1" applyFont="1" applyFill="1" applyBorder="1" applyAlignment="1">
      <alignment horizontal="center"/>
    </xf>
    <xf numFmtId="3" fontId="95" fillId="3" borderId="15" xfId="0" applyNumberFormat="1" applyFont="1" applyFill="1" applyBorder="1" applyAlignment="1">
      <alignment horizontal="center"/>
    </xf>
    <xf numFmtId="3" fontId="7" fillId="3" borderId="51" xfId="0" applyNumberFormat="1" applyFont="1" applyFill="1" applyBorder="1" applyAlignment="1">
      <alignment horizontal="right"/>
    </xf>
    <xf numFmtId="49" fontId="6" fillId="2" borderId="3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xf numFmtId="0" fontId="12" fillId="0" borderId="16" xfId="0" applyFont="1" applyBorder="1" applyAlignment="1">
      <alignment horizontal="right"/>
    </xf>
    <xf numFmtId="0" fontId="12" fillId="3" borderId="45" xfId="0" applyFont="1" applyFill="1" applyBorder="1" applyAlignment="1">
      <alignment horizontal="left"/>
    </xf>
    <xf numFmtId="3" fontId="96" fillId="3" borderId="16" xfId="0" applyNumberFormat="1" applyFont="1" applyFill="1" applyBorder="1" applyAlignment="1">
      <alignment horizontal="left"/>
    </xf>
    <xf numFmtId="3" fontId="7" fillId="3" borderId="16" xfId="0" applyNumberFormat="1" applyFont="1" applyFill="1" applyBorder="1" applyAlignment="1">
      <alignment horizontal="right"/>
    </xf>
    <xf numFmtId="3" fontId="13" fillId="3" borderId="16" xfId="0" applyNumberFormat="1" applyFont="1" applyFill="1" applyBorder="1" applyAlignment="1"/>
    <xf numFmtId="3" fontId="97" fillId="3" borderId="16" xfId="0" applyNumberFormat="1" applyFont="1" applyFill="1" applyBorder="1" applyAlignment="1">
      <alignment horizontal="right"/>
    </xf>
    <xf numFmtId="0" fontId="10" fillId="0" borderId="31" xfId="0" applyFont="1" applyBorder="1" applyAlignment="1">
      <alignment horizontal="center" vertical="center" wrapText="1"/>
    </xf>
    <xf numFmtId="3" fontId="97" fillId="3" borderId="35" xfId="0" applyNumberFormat="1" applyFont="1" applyFill="1" applyBorder="1" applyAlignment="1">
      <alignment horizontal="right"/>
    </xf>
    <xf numFmtId="3" fontId="98" fillId="3" borderId="16" xfId="0" applyNumberFormat="1" applyFont="1" applyFill="1" applyBorder="1" applyAlignment="1">
      <alignment horizontal="right"/>
    </xf>
    <xf numFmtId="3" fontId="96" fillId="3" borderId="16" xfId="0" applyNumberFormat="1" applyFont="1" applyFill="1" applyBorder="1" applyAlignment="1">
      <alignment horizontal="right"/>
    </xf>
    <xf numFmtId="3" fontId="96" fillId="3" borderId="54" xfId="0" applyNumberFormat="1" applyFont="1" applyFill="1" applyBorder="1" applyAlignment="1">
      <alignment horizontal="right"/>
    </xf>
    <xf numFmtId="0" fontId="10" fillId="0" borderId="4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7" xfId="0" applyFont="1" applyBorder="1"/>
    <xf numFmtId="0" fontId="12" fillId="0" borderId="18" xfId="0" applyFont="1" applyBorder="1" applyAlignment="1">
      <alignment horizontal="right"/>
    </xf>
    <xf numFmtId="0" fontId="12" fillId="3" borderId="46" xfId="0" applyFont="1" applyFill="1" applyBorder="1" applyAlignment="1">
      <alignment horizontal="left"/>
    </xf>
    <xf numFmtId="3" fontId="96" fillId="3" borderId="18" xfId="0" applyNumberFormat="1" applyFont="1" applyFill="1" applyBorder="1" applyAlignment="1">
      <alignment horizontal="left"/>
    </xf>
    <xf numFmtId="3" fontId="97" fillId="3" borderId="18" xfId="0" applyNumberFormat="1" applyFont="1" applyFill="1" applyBorder="1" applyAlignment="1">
      <alignment horizontal="right"/>
    </xf>
    <xf numFmtId="3" fontId="7" fillId="3" borderId="35" xfId="0" applyNumberFormat="1" applyFont="1" applyFill="1" applyBorder="1" applyAlignment="1">
      <alignment horizontal="right"/>
    </xf>
    <xf numFmtId="0" fontId="10" fillId="0" borderId="4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xf numFmtId="0" fontId="12" fillId="0" borderId="15" xfId="0" applyFont="1" applyBorder="1"/>
    <xf numFmtId="3" fontId="117" fillId="3" borderId="15" xfId="0" applyNumberFormat="1" applyFont="1" applyFill="1" applyBorder="1" applyAlignment="1">
      <alignment horizontal="center"/>
    </xf>
    <xf numFmtId="3" fontId="99" fillId="3" borderId="16" xfId="0" applyNumberFormat="1" applyFont="1" applyFill="1" applyBorder="1" applyAlignment="1"/>
    <xf numFmtId="0" fontId="12" fillId="0" borderId="18" xfId="0" applyFont="1" applyBorder="1"/>
    <xf numFmtId="3" fontId="99" fillId="3" borderId="18" xfId="0" applyNumberFormat="1" applyFont="1" applyFill="1" applyBorder="1" applyAlignment="1">
      <alignment horizontal="center"/>
    </xf>
    <xf numFmtId="3" fontId="98" fillId="3" borderId="18" xfId="0" applyNumberFormat="1" applyFont="1" applyFill="1" applyBorder="1" applyAlignment="1">
      <alignment horizontal="right"/>
    </xf>
    <xf numFmtId="0" fontId="7" fillId="5" borderId="1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7" fillId="5" borderId="11" xfId="0" applyFont="1" applyFill="1" applyBorder="1"/>
    <xf numFmtId="3" fontId="94" fillId="6" borderId="11" xfId="0" applyNumberFormat="1" applyFont="1" applyFill="1" applyBorder="1" applyAlignment="1">
      <alignment horizontal="center" vertical="center"/>
    </xf>
    <xf numFmtId="3" fontId="94" fillId="6" borderId="11" xfId="0" applyNumberFormat="1" applyFont="1" applyFill="1" applyBorder="1" applyAlignment="1">
      <alignment horizontal="right"/>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7" xfId="0" applyFont="1" applyBorder="1"/>
    <xf numFmtId="0" fontId="10" fillId="0" borderId="11" xfId="0" applyFont="1" applyBorder="1" applyAlignment="1">
      <alignment horizontal="right"/>
    </xf>
    <xf numFmtId="0" fontId="10" fillId="0" borderId="13" xfId="0" applyFont="1" applyBorder="1"/>
    <xf numFmtId="3" fontId="116" fillId="0" borderId="11" xfId="0" applyNumberFormat="1" applyFont="1" applyBorder="1" applyAlignment="1">
      <alignment horizontal="center" vertical="center"/>
    </xf>
    <xf numFmtId="3" fontId="100" fillId="0" borderId="11" xfId="0" applyNumberFormat="1" applyFont="1" applyBorder="1" applyAlignment="1">
      <alignment horizontal="right"/>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xf numFmtId="0" fontId="12" fillId="0" borderId="51" xfId="0" applyFont="1" applyBorder="1" applyAlignment="1">
      <alignment horizontal="right"/>
    </xf>
    <xf numFmtId="0" fontId="12" fillId="0" borderId="52" xfId="0" applyFont="1" applyBorder="1"/>
    <xf numFmtId="3" fontId="98" fillId="0" borderId="51" xfId="0" applyNumberFormat="1" applyFont="1" applyBorder="1"/>
    <xf numFmtId="3" fontId="98" fillId="0" borderId="51" xfId="0" applyNumberFormat="1" applyFont="1" applyBorder="1" applyAlignment="1">
      <alignment horizontal="right"/>
    </xf>
    <xf numFmtId="0" fontId="7" fillId="0" borderId="4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xf numFmtId="0" fontId="12" fillId="0" borderId="15" xfId="0" applyFont="1" applyBorder="1" applyAlignment="1">
      <alignment horizontal="right"/>
    </xf>
    <xf numFmtId="3" fontId="98" fillId="0" borderId="15" xfId="0" applyNumberFormat="1" applyFont="1" applyBorder="1"/>
    <xf numFmtId="3" fontId="98" fillId="0" borderId="15" xfId="0" applyNumberFormat="1" applyFont="1" applyBorder="1" applyAlignment="1">
      <alignment horizontal="right"/>
    </xf>
    <xf numFmtId="0" fontId="7" fillId="0" borderId="3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xf numFmtId="3" fontId="98" fillId="0" borderId="16" xfId="0" applyNumberFormat="1" applyFont="1" applyBorder="1"/>
    <xf numFmtId="3" fontId="98" fillId="0" borderId="16" xfId="0" applyNumberFormat="1" applyFont="1" applyBorder="1" applyAlignment="1">
      <alignment horizontal="right"/>
    </xf>
    <xf numFmtId="0" fontId="7" fillId="0" borderId="4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7" xfId="0" applyFont="1" applyBorder="1"/>
    <xf numFmtId="0" fontId="12" fillId="0" borderId="46" xfId="0" applyFont="1" applyBorder="1"/>
    <xf numFmtId="3" fontId="98" fillId="0" borderId="18" xfId="0" applyNumberFormat="1" applyFont="1" applyBorder="1"/>
    <xf numFmtId="3" fontId="98" fillId="0" borderId="18" xfId="0" applyNumberFormat="1" applyFont="1" applyBorder="1" applyAlignment="1">
      <alignment horizontal="right"/>
    </xf>
    <xf numFmtId="3" fontId="94" fillId="0" borderId="11" xfId="0" applyNumberFormat="1" applyFont="1" applyBorder="1"/>
    <xf numFmtId="3" fontId="94" fillId="0" borderId="11" xfId="0" applyNumberFormat="1" applyFont="1" applyBorder="1" applyAlignment="1">
      <alignment horizontal="right"/>
    </xf>
    <xf numFmtId="0" fontId="12" fillId="0" borderId="15" xfId="0" applyFont="1" applyFill="1" applyBorder="1" applyAlignment="1">
      <alignment horizontal="right"/>
    </xf>
    <xf numFmtId="0" fontId="12" fillId="0" borderId="16" xfId="0" applyFont="1" applyFill="1" applyBorder="1" applyAlignment="1">
      <alignment horizontal="right"/>
    </xf>
    <xf numFmtId="3" fontId="98" fillId="4" borderId="16" xfId="0" applyNumberFormat="1" applyFont="1" applyFill="1" applyBorder="1"/>
    <xf numFmtId="3" fontId="98" fillId="4" borderId="16" xfId="0" applyNumberFormat="1" applyFont="1" applyFill="1" applyBorder="1" applyAlignment="1">
      <alignment horizontal="right"/>
    </xf>
    <xf numFmtId="0" fontId="7" fillId="0" borderId="3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3" xfId="0" applyFont="1" applyBorder="1"/>
    <xf numFmtId="0" fontId="12" fillId="0" borderId="54" xfId="0" applyFont="1" applyBorder="1" applyAlignment="1">
      <alignment horizontal="right"/>
    </xf>
    <xf numFmtId="3" fontId="98" fillId="4" borderId="54" xfId="0" applyNumberFormat="1" applyFont="1" applyFill="1" applyBorder="1"/>
    <xf numFmtId="3" fontId="98" fillId="4" borderId="54" xfId="0" applyNumberFormat="1" applyFont="1" applyFill="1" applyBorder="1" applyAlignment="1">
      <alignment horizontal="right"/>
    </xf>
    <xf numFmtId="3" fontId="6" fillId="0" borderId="11" xfId="0" applyNumberFormat="1" applyFont="1" applyBorder="1" applyAlignment="1">
      <alignment horizontal="right"/>
    </xf>
    <xf numFmtId="3" fontId="98" fillId="4" borderId="15" xfId="0" applyNumberFormat="1" applyFont="1" applyFill="1" applyBorder="1"/>
    <xf numFmtId="3" fontId="7" fillId="0" borderId="51" xfId="0" applyNumberFormat="1" applyFont="1" applyBorder="1"/>
    <xf numFmtId="3" fontId="94" fillId="4" borderId="16" xfId="0" applyNumberFormat="1" applyFont="1" applyFill="1" applyBorder="1" applyAlignment="1">
      <alignment horizontal="right"/>
    </xf>
    <xf numFmtId="0" fontId="118" fillId="0" borderId="45" xfId="0" applyFont="1" applyBorder="1" applyAlignment="1">
      <alignment horizontal="right"/>
    </xf>
    <xf numFmtId="3" fontId="7" fillId="0" borderId="16" xfId="0" applyNumberFormat="1" applyFont="1" applyBorder="1"/>
    <xf numFmtId="3" fontId="117" fillId="0" borderId="16" xfId="0" applyNumberFormat="1" applyFont="1" applyBorder="1"/>
    <xf numFmtId="0" fontId="119" fillId="0" borderId="45" xfId="0" applyFont="1" applyBorder="1" applyAlignment="1">
      <alignment horizontal="right"/>
    </xf>
    <xf numFmtId="3" fontId="117" fillId="4" borderId="16" xfId="0" applyNumberFormat="1" applyFont="1" applyFill="1" applyBorder="1" applyAlignment="1">
      <alignment horizontal="right"/>
    </xf>
    <xf numFmtId="3" fontId="7" fillId="2" borderId="16" xfId="0" applyNumberFormat="1" applyFont="1" applyFill="1" applyBorder="1"/>
    <xf numFmtId="3" fontId="7" fillId="4" borderId="16" xfId="0" applyNumberFormat="1" applyFont="1" applyFill="1" applyBorder="1" applyAlignment="1">
      <alignment horizontal="right"/>
    </xf>
    <xf numFmtId="3" fontId="98" fillId="4" borderId="18" xfId="0" applyNumberFormat="1" applyFont="1" applyFill="1" applyBorder="1"/>
    <xf numFmtId="3" fontId="98" fillId="4" borderId="15" xfId="0" applyNumberFormat="1" applyFont="1" applyFill="1" applyBorder="1" applyAlignment="1">
      <alignment horizontal="right"/>
    </xf>
    <xf numFmtId="3" fontId="97" fillId="4" borderId="18" xfId="0" applyNumberFormat="1" applyFont="1" applyFill="1" applyBorder="1" applyAlignment="1">
      <alignment horizontal="right"/>
    </xf>
    <xf numFmtId="3" fontId="7" fillId="0" borderId="33" xfId="0" applyNumberFormat="1" applyFont="1" applyFill="1" applyBorder="1" applyAlignment="1">
      <alignment horizontal="right"/>
    </xf>
    <xf numFmtId="3" fontId="94" fillId="0" borderId="15" xfId="0" applyNumberFormat="1" applyFont="1" applyBorder="1"/>
    <xf numFmtId="3" fontId="94" fillId="0" borderId="15" xfId="0" applyNumberFormat="1" applyFont="1" applyBorder="1" applyAlignment="1">
      <alignment horizontal="right"/>
    </xf>
    <xf numFmtId="3" fontId="94" fillId="0" borderId="16" xfId="0" applyNumberFormat="1" applyFont="1" applyBorder="1"/>
    <xf numFmtId="3" fontId="94" fillId="0" borderId="16" xfId="0" applyNumberFormat="1" applyFont="1" applyBorder="1" applyAlignment="1">
      <alignment horizontal="right"/>
    </xf>
    <xf numFmtId="3" fontId="94" fillId="0" borderId="54" xfId="0" applyNumberFormat="1" applyFont="1" applyBorder="1"/>
    <xf numFmtId="3" fontId="94" fillId="0" borderId="54" xfId="0" applyNumberFormat="1" applyFont="1" applyBorder="1" applyAlignment="1">
      <alignment horizontal="right"/>
    </xf>
    <xf numFmtId="3" fontId="94" fillId="0" borderId="51" xfId="0" applyNumberFormat="1" applyFont="1" applyBorder="1"/>
    <xf numFmtId="3" fontId="7" fillId="0" borderId="35" xfId="0" applyNumberFormat="1" applyFont="1" applyFill="1" applyBorder="1" applyAlignment="1">
      <alignment horizontal="right"/>
    </xf>
    <xf numFmtId="3" fontId="94" fillId="0" borderId="18" xfId="0" applyNumberFormat="1" applyFont="1" applyBorder="1"/>
    <xf numFmtId="3" fontId="7" fillId="0" borderId="34" xfId="0" applyNumberFormat="1" applyFont="1" applyFill="1" applyBorder="1" applyAlignment="1">
      <alignment horizontal="right"/>
    </xf>
    <xf numFmtId="3" fontId="94" fillId="4" borderId="11" xfId="0" applyNumberFormat="1" applyFont="1" applyFill="1" applyBorder="1"/>
    <xf numFmtId="3" fontId="94" fillId="4" borderId="11" xfId="0" applyNumberFormat="1" applyFont="1" applyFill="1" applyBorder="1" applyAlignment="1">
      <alignment horizontal="right"/>
    </xf>
    <xf numFmtId="3" fontId="94" fillId="0" borderId="18" xfId="0" applyNumberFormat="1" applyFont="1" applyBorder="1" applyAlignment="1">
      <alignment horizontal="right"/>
    </xf>
    <xf numFmtId="0" fontId="10" fillId="4" borderId="11" xfId="0" applyFont="1" applyFill="1" applyBorder="1" applyAlignment="1">
      <alignment horizontal="right"/>
    </xf>
    <xf numFmtId="3" fontId="98" fillId="4" borderId="51" xfId="0" applyNumberFormat="1" applyFont="1" applyFill="1" applyBorder="1"/>
    <xf numFmtId="3" fontId="98" fillId="4" borderId="51" xfId="0" applyNumberFormat="1" applyFont="1" applyFill="1" applyBorder="1" applyAlignment="1">
      <alignment horizontal="right"/>
    </xf>
    <xf numFmtId="3" fontId="98" fillId="4" borderId="18" xfId="0" applyNumberFormat="1" applyFont="1" applyFill="1" applyBorder="1" applyAlignment="1">
      <alignment horizontal="right"/>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0" xfId="0" applyFont="1" applyFill="1" applyBorder="1" applyAlignment="1"/>
    <xf numFmtId="0" fontId="9" fillId="2" borderId="47" xfId="0" applyFont="1" applyFill="1" applyBorder="1" applyAlignment="1"/>
    <xf numFmtId="0" fontId="12" fillId="2" borderId="11" xfId="0" applyFont="1" applyFill="1" applyBorder="1" applyAlignment="1">
      <alignment horizontal="right"/>
    </xf>
    <xf numFmtId="0" fontId="12" fillId="2" borderId="30" xfId="0" applyFont="1" applyFill="1" applyBorder="1"/>
    <xf numFmtId="3" fontId="98" fillId="4" borderId="11" xfId="0" applyNumberFormat="1" applyFont="1" applyFill="1" applyBorder="1"/>
    <xf numFmtId="3" fontId="98" fillId="4" borderId="11" xfId="0" applyNumberFormat="1" applyFont="1" applyFill="1" applyBorder="1" applyAlignment="1">
      <alignment horizontal="right"/>
    </xf>
    <xf numFmtId="0" fontId="7" fillId="0" borderId="19" xfId="0" applyFont="1" applyBorder="1"/>
    <xf numFmtId="0" fontId="7" fillId="2" borderId="20" xfId="0" applyFont="1" applyFill="1" applyBorder="1"/>
    <xf numFmtId="0" fontId="12" fillId="2" borderId="20" xfId="0" applyFont="1" applyFill="1" applyBorder="1"/>
    <xf numFmtId="0" fontId="103" fillId="2" borderId="20" xfId="0" applyFont="1" applyFill="1" applyBorder="1" applyAlignment="1"/>
    <xf numFmtId="0" fontId="10" fillId="2" borderId="47" xfId="0" applyFont="1" applyFill="1" applyBorder="1" applyAlignment="1"/>
    <xf numFmtId="0" fontId="7" fillId="2" borderId="11" xfId="0" applyFont="1" applyFill="1" applyBorder="1"/>
    <xf numFmtId="0" fontId="7" fillId="4" borderId="30" xfId="0" applyFont="1" applyFill="1" applyBorder="1"/>
    <xf numFmtId="3" fontId="104" fillId="4" borderId="11" xfId="0" applyNumberFormat="1" applyFont="1" applyFill="1" applyBorder="1"/>
    <xf numFmtId="0" fontId="12" fillId="4" borderId="0" xfId="0" applyFont="1" applyFill="1" applyBorder="1"/>
    <xf numFmtId="3" fontId="104" fillId="4" borderId="0" xfId="0" applyNumberFormat="1" applyFont="1" applyFill="1" applyBorder="1"/>
    <xf numFmtId="3" fontId="104" fillId="4" borderId="0" xfId="0" applyNumberFormat="1" applyFont="1" applyFill="1" applyBorder="1" applyAlignment="1">
      <alignment horizontal="right"/>
    </xf>
    <xf numFmtId="3" fontId="104" fillId="2" borderId="0" xfId="0" applyNumberFormat="1" applyFont="1" applyFill="1" applyBorder="1" applyAlignment="1">
      <alignment horizontal="right"/>
    </xf>
    <xf numFmtId="3" fontId="38" fillId="4" borderId="0" xfId="0" applyNumberFormat="1" applyFont="1" applyFill="1" applyBorder="1" applyAlignment="1">
      <alignment horizontal="left"/>
    </xf>
    <xf numFmtId="0" fontId="6" fillId="0" borderId="0" xfId="0" applyFont="1" applyBorder="1" applyAlignment="1">
      <alignment horizontal="left"/>
    </xf>
    <xf numFmtId="0" fontId="7" fillId="0" borderId="0" xfId="0" applyFont="1" applyFill="1" applyBorder="1"/>
    <xf numFmtId="3" fontId="7" fillId="2" borderId="0" xfId="0" applyNumberFormat="1" applyFont="1" applyFill="1" applyBorder="1" applyAlignment="1">
      <alignment horizontal="right"/>
    </xf>
    <xf numFmtId="0" fontId="7" fillId="0" borderId="0" xfId="0" applyFont="1" applyAlignment="1">
      <alignment horizontal="right"/>
    </xf>
    <xf numFmtId="3" fontId="6" fillId="2" borderId="0" xfId="0" applyNumberFormat="1" applyFont="1" applyFill="1" applyBorder="1" applyAlignment="1"/>
    <xf numFmtId="3" fontId="7" fillId="2" borderId="0" xfId="0" applyNumberFormat="1" applyFont="1" applyFill="1" applyBorder="1" applyAlignment="1"/>
    <xf numFmtId="3" fontId="38" fillId="2" borderId="0" xfId="0" applyNumberFormat="1" applyFont="1" applyFill="1" applyBorder="1"/>
    <xf numFmtId="3" fontId="38" fillId="2" borderId="0" xfId="0" applyNumberFormat="1" applyFont="1" applyFill="1" applyBorder="1" applyAlignment="1">
      <alignment horizontal="right"/>
    </xf>
    <xf numFmtId="0" fontId="6" fillId="2" borderId="0" xfId="0" applyFont="1" applyFill="1" applyAlignment="1">
      <alignment horizontal="center" vertical="center" wrapText="1"/>
    </xf>
    <xf numFmtId="3" fontId="94" fillId="3" borderId="16" xfId="0" applyNumberFormat="1" applyFont="1" applyFill="1" applyBorder="1" applyAlignment="1"/>
    <xf numFmtId="3" fontId="7" fillId="3" borderId="16" xfId="0" applyNumberFormat="1" applyFont="1" applyFill="1" applyBorder="1" applyAlignment="1"/>
    <xf numFmtId="3" fontId="94" fillId="3" borderId="0" xfId="0" applyNumberFormat="1" applyFont="1" applyFill="1" applyBorder="1" applyAlignment="1"/>
    <xf numFmtId="3" fontId="0" fillId="0" borderId="0" xfId="0" applyNumberFormat="1" applyAlignment="1">
      <alignment horizontal="right"/>
    </xf>
    <xf numFmtId="3" fontId="117" fillId="0" borderId="51" xfId="0" applyNumberFormat="1" applyFont="1" applyBorder="1" applyAlignment="1">
      <alignment horizontal="right"/>
    </xf>
    <xf numFmtId="3" fontId="117" fillId="0" borderId="15" xfId="0" applyNumberFormat="1" applyFont="1" applyBorder="1" applyAlignment="1">
      <alignment horizontal="right"/>
    </xf>
    <xf numFmtId="3" fontId="117" fillId="0" borderId="16" xfId="0" applyNumberFormat="1" applyFont="1" applyBorder="1" applyAlignment="1">
      <alignment horizontal="right"/>
    </xf>
    <xf numFmtId="3" fontId="98" fillId="11" borderId="16" xfId="0" applyNumberFormat="1" applyFont="1" applyFill="1" applyBorder="1" applyAlignment="1">
      <alignment horizontal="right"/>
    </xf>
    <xf numFmtId="165" fontId="34" fillId="0" borderId="1" xfId="0" applyNumberFormat="1" applyFont="1" applyBorder="1" applyAlignment="1">
      <alignment horizontal="center"/>
    </xf>
    <xf numFmtId="165" fontId="33" fillId="0" borderId="10" xfId="0" applyNumberFormat="1" applyFont="1" applyBorder="1" applyAlignment="1">
      <alignment horizontal="center"/>
    </xf>
    <xf numFmtId="3" fontId="34" fillId="0" borderId="17" xfId="0" applyNumberFormat="1" applyFont="1" applyBorder="1" applyAlignment="1">
      <alignment horizontal="center"/>
    </xf>
    <xf numFmtId="3" fontId="34" fillId="0" borderId="30" xfId="0" applyNumberFormat="1" applyFont="1" applyBorder="1" applyAlignment="1">
      <alignment horizontal="center"/>
    </xf>
    <xf numFmtId="3" fontId="20" fillId="0" borderId="10" xfId="0" applyNumberFormat="1" applyFont="1" applyBorder="1" applyAlignment="1">
      <alignment horizontal="center"/>
    </xf>
    <xf numFmtId="3" fontId="20" fillId="0" borderId="9" xfId="0" applyNumberFormat="1" applyFont="1" applyBorder="1" applyAlignment="1">
      <alignment horizontal="center"/>
    </xf>
    <xf numFmtId="3" fontId="33" fillId="12" borderId="1" xfId="0" applyNumberFormat="1" applyFont="1" applyFill="1" applyBorder="1"/>
    <xf numFmtId="0" fontId="20" fillId="0" borderId="19" xfId="0" applyFont="1" applyBorder="1" applyAlignment="1">
      <alignment horizontal="center"/>
    </xf>
    <xf numFmtId="0" fontId="20" fillId="0" borderId="20" xfId="0" applyFont="1" applyBorder="1" applyAlignment="1">
      <alignment horizontal="center"/>
    </xf>
    <xf numFmtId="0" fontId="20" fillId="0" borderId="61" xfId="0" applyFont="1" applyBorder="1" applyAlignment="1">
      <alignment horizontal="center"/>
    </xf>
    <xf numFmtId="0" fontId="33" fillId="0" borderId="19" xfId="0" applyFont="1" applyBorder="1"/>
    <xf numFmtId="0" fontId="20" fillId="0" borderId="47" xfId="0" applyFont="1" applyBorder="1" applyAlignment="1">
      <alignment horizontal="center"/>
    </xf>
    <xf numFmtId="0" fontId="20" fillId="0" borderId="75" xfId="0" applyFont="1" applyBorder="1" applyAlignment="1">
      <alignment horizontal="center"/>
    </xf>
    <xf numFmtId="0" fontId="33" fillId="0" borderId="22" xfId="0" applyFont="1" applyBorder="1"/>
    <xf numFmtId="0" fontId="33" fillId="0" borderId="23" xfId="0" applyFont="1" applyBorder="1"/>
    <xf numFmtId="0" fontId="33" fillId="0" borderId="24" xfId="0" applyFont="1" applyBorder="1"/>
    <xf numFmtId="0" fontId="33" fillId="0" borderId="25" xfId="0" applyFont="1" applyBorder="1"/>
    <xf numFmtId="0" fontId="35" fillId="0" borderId="40" xfId="0" applyFont="1" applyBorder="1" applyAlignment="1">
      <alignment horizontal="center"/>
    </xf>
    <xf numFmtId="0" fontId="35" fillId="0" borderId="24" xfId="0" applyFont="1" applyBorder="1" applyAlignment="1">
      <alignment horizontal="center"/>
    </xf>
    <xf numFmtId="3" fontId="34" fillId="0" borderId="25" xfId="0" applyNumberFormat="1" applyFont="1" applyBorder="1" applyAlignment="1">
      <alignment horizontal="center"/>
    </xf>
    <xf numFmtId="3" fontId="34" fillId="0" borderId="25" xfId="0" applyNumberFormat="1" applyFont="1" applyFill="1" applyBorder="1" applyAlignment="1">
      <alignment horizontal="center"/>
    </xf>
    <xf numFmtId="3" fontId="33" fillId="12" borderId="2" xfId="0" applyNumberFormat="1" applyFont="1" applyFill="1" applyBorder="1"/>
    <xf numFmtId="0" fontId="34" fillId="0" borderId="27" xfId="0" applyFont="1" applyBorder="1"/>
    <xf numFmtId="3" fontId="33" fillId="0" borderId="27" xfId="0" applyNumberFormat="1" applyFont="1" applyBorder="1"/>
    <xf numFmtId="0" fontId="33" fillId="0" borderId="28" xfId="0" applyFont="1" applyBorder="1"/>
    <xf numFmtId="0" fontId="33" fillId="0" borderId="48" xfId="0" applyFont="1" applyBorder="1"/>
    <xf numFmtId="3" fontId="33" fillId="0" borderId="49" xfId="0" applyNumberFormat="1" applyFont="1" applyBorder="1"/>
    <xf numFmtId="3" fontId="34" fillId="0" borderId="49" xfId="0" applyNumberFormat="1" applyFont="1" applyBorder="1"/>
    <xf numFmtId="0" fontId="35" fillId="0" borderId="68" xfId="0" applyFont="1" applyBorder="1" applyAlignment="1">
      <alignment horizontal="center"/>
    </xf>
    <xf numFmtId="3" fontId="34" fillId="0" borderId="7" xfId="0" applyNumberFormat="1" applyFont="1" applyBorder="1" applyAlignment="1">
      <alignment horizontal="center"/>
    </xf>
    <xf numFmtId="3" fontId="34" fillId="0" borderId="6" xfId="0" applyNumberFormat="1" applyFont="1" applyBorder="1" applyAlignment="1">
      <alignment horizontal="center"/>
    </xf>
    <xf numFmtId="3" fontId="120" fillId="0" borderId="1" xfId="0" applyNumberFormat="1" applyFont="1" applyBorder="1" applyAlignment="1">
      <alignment horizontal="center"/>
    </xf>
    <xf numFmtId="3" fontId="115" fillId="0" borderId="8" xfId="0" applyNumberFormat="1" applyFont="1" applyBorder="1" applyAlignment="1">
      <alignment horizontal="center"/>
    </xf>
    <xf numFmtId="165" fontId="115" fillId="0" borderId="10" xfId="0" applyNumberFormat="1" applyFont="1" applyBorder="1" applyAlignment="1">
      <alignment horizontal="center"/>
    </xf>
    <xf numFmtId="4" fontId="34" fillId="0" borderId="7" xfId="0" applyNumberFormat="1" applyFont="1" applyBorder="1" applyAlignment="1">
      <alignment horizontal="center"/>
    </xf>
    <xf numFmtId="166" fontId="34" fillId="0" borderId="18" xfId="0" applyNumberFormat="1" applyFont="1" applyBorder="1" applyAlignment="1">
      <alignment horizontal="center"/>
    </xf>
    <xf numFmtId="166" fontId="34" fillId="0" borderId="33" xfId="0" applyNumberFormat="1" applyFont="1" applyBorder="1" applyAlignment="1">
      <alignment horizontal="center"/>
    </xf>
    <xf numFmtId="165" fontId="34" fillId="0" borderId="33" xfId="0" applyNumberFormat="1" applyFont="1" applyBorder="1" applyAlignment="1">
      <alignment horizontal="center"/>
    </xf>
    <xf numFmtId="166" fontId="34" fillId="0" borderId="11" xfId="0" applyNumberFormat="1" applyFont="1" applyFill="1" applyBorder="1" applyAlignment="1">
      <alignment horizontal="center"/>
    </xf>
    <xf numFmtId="166" fontId="34" fillId="0" borderId="15" xfId="0" applyNumberFormat="1" applyFont="1" applyBorder="1" applyAlignment="1">
      <alignment horizontal="center"/>
    </xf>
    <xf numFmtId="166" fontId="34" fillId="0" borderId="1" xfId="0" applyNumberFormat="1" applyFont="1" applyBorder="1" applyAlignment="1">
      <alignment horizontal="center"/>
    </xf>
    <xf numFmtId="3" fontId="34" fillId="0" borderId="4" xfId="0" applyNumberFormat="1" applyFont="1" applyBorder="1" applyAlignment="1">
      <alignment horizontal="center"/>
    </xf>
    <xf numFmtId="3" fontId="34" fillId="0" borderId="73" xfId="0" applyNumberFormat="1" applyFont="1" applyBorder="1" applyAlignment="1">
      <alignment horizontal="center"/>
    </xf>
    <xf numFmtId="3" fontId="34" fillId="0" borderId="67" xfId="0" applyNumberFormat="1" applyFont="1" applyBorder="1" applyAlignment="1">
      <alignment horizontal="center"/>
    </xf>
    <xf numFmtId="3" fontId="34" fillId="0" borderId="27" xfId="0" applyNumberFormat="1" applyFont="1" applyBorder="1"/>
    <xf numFmtId="166" fontId="34" fillId="0" borderId="4" xfId="0" applyNumberFormat="1" applyFont="1" applyFill="1" applyBorder="1" applyAlignment="1">
      <alignment horizontal="center"/>
    </xf>
    <xf numFmtId="0" fontId="34" fillId="0" borderId="40" xfId="0" applyFont="1" applyBorder="1" applyAlignment="1">
      <alignment horizontal="center"/>
    </xf>
    <xf numFmtId="0" fontId="34" fillId="0" borderId="31" xfId="0" applyFont="1" applyBorder="1" applyAlignment="1">
      <alignment horizontal="center"/>
    </xf>
    <xf numFmtId="165" fontId="33" fillId="0" borderId="1" xfId="0" applyNumberFormat="1" applyFont="1" applyBorder="1" applyAlignment="1">
      <alignment horizontal="center"/>
    </xf>
    <xf numFmtId="0" fontId="34" fillId="0" borderId="42" xfId="0" applyFont="1" applyBorder="1" applyAlignment="1">
      <alignment horizontal="center"/>
    </xf>
    <xf numFmtId="166" fontId="115" fillId="0" borderId="8" xfId="0" applyNumberFormat="1" applyFont="1" applyBorder="1" applyAlignment="1">
      <alignment horizontal="center"/>
    </xf>
    <xf numFmtId="0" fontId="34" fillId="0" borderId="66" xfId="0" applyFont="1" applyBorder="1" applyAlignment="1">
      <alignment horizontal="center"/>
    </xf>
    <xf numFmtId="0" fontId="34" fillId="0" borderId="68" xfId="0" applyFont="1" applyBorder="1" applyAlignment="1">
      <alignment horizontal="center"/>
    </xf>
    <xf numFmtId="166" fontId="34" fillId="0" borderId="7" xfId="0" applyNumberFormat="1" applyFont="1" applyBorder="1" applyAlignment="1">
      <alignment horizontal="center"/>
    </xf>
    <xf numFmtId="165" fontId="34" fillId="0" borderId="7" xfId="0" applyNumberFormat="1" applyFont="1" applyBorder="1" applyAlignment="1">
      <alignment horizontal="center"/>
    </xf>
    <xf numFmtId="3" fontId="34" fillId="0" borderId="22" xfId="0" applyNumberFormat="1" applyFont="1" applyBorder="1" applyAlignment="1">
      <alignment horizontal="center"/>
    </xf>
    <xf numFmtId="3" fontId="34" fillId="0" borderId="66" xfId="0" applyNumberFormat="1" applyFont="1" applyBorder="1" applyAlignment="1">
      <alignment horizontal="center"/>
    </xf>
    <xf numFmtId="0" fontId="34" fillId="0" borderId="24" xfId="0" applyFont="1" applyBorder="1" applyAlignment="1">
      <alignment horizontal="center"/>
    </xf>
    <xf numFmtId="0" fontId="34" fillId="0" borderId="36" xfId="0" applyFont="1" applyBorder="1" applyAlignment="1">
      <alignment horizontal="center"/>
    </xf>
    <xf numFmtId="0" fontId="34" fillId="0" borderId="1" xfId="0" applyFont="1" applyBorder="1" applyAlignment="1">
      <alignment horizontal="center"/>
    </xf>
    <xf numFmtId="3" fontId="34" fillId="0" borderId="28" xfId="0" applyNumberFormat="1" applyFont="1" applyBorder="1"/>
    <xf numFmtId="166" fontId="34" fillId="0" borderId="34" xfId="0" applyNumberFormat="1" applyFont="1" applyFill="1" applyBorder="1" applyAlignment="1">
      <alignment horizontal="center"/>
    </xf>
    <xf numFmtId="0" fontId="28" fillId="0" borderId="0" xfId="0" applyFont="1"/>
    <xf numFmtId="3" fontId="28" fillId="0" borderId="0" xfId="0" applyNumberFormat="1" applyFont="1"/>
    <xf numFmtId="0" fontId="76" fillId="0" borderId="0" xfId="0" applyFont="1"/>
    <xf numFmtId="0" fontId="28" fillId="0" borderId="0" xfId="0" applyFont="1" applyAlignment="1">
      <alignment horizontal="right"/>
    </xf>
    <xf numFmtId="0" fontId="28" fillId="0" borderId="0" xfId="0" applyFont="1" applyAlignment="1">
      <alignment horizontal="center"/>
    </xf>
    <xf numFmtId="167" fontId="76" fillId="0" borderId="1" xfId="1" applyNumberFormat="1" applyFont="1" applyBorder="1"/>
    <xf numFmtId="167" fontId="88" fillId="0" borderId="1" xfId="1" applyNumberFormat="1" applyFont="1" applyBorder="1"/>
    <xf numFmtId="167" fontId="88" fillId="0" borderId="1" xfId="1" applyNumberFormat="1" applyFont="1" applyBorder="1" applyAlignment="1">
      <alignment horizontal="right"/>
    </xf>
    <xf numFmtId="167" fontId="88" fillId="2" borderId="1" xfId="1" applyNumberFormat="1" applyFont="1" applyFill="1" applyBorder="1"/>
    <xf numFmtId="167" fontId="88" fillId="15" borderId="1" xfId="1" applyNumberFormat="1" applyFont="1" applyFill="1" applyBorder="1"/>
    <xf numFmtId="167" fontId="88" fillId="15" borderId="1" xfId="1" applyNumberFormat="1" applyFont="1" applyFill="1" applyBorder="1" applyAlignment="1">
      <alignment horizontal="right"/>
    </xf>
    <xf numFmtId="167" fontId="88" fillId="15" borderId="1" xfId="1" applyNumberFormat="1" applyFont="1" applyFill="1" applyBorder="1" applyAlignment="1">
      <alignment horizontal="center"/>
    </xf>
    <xf numFmtId="3" fontId="88" fillId="15" borderId="1" xfId="1" applyNumberFormat="1" applyFont="1" applyFill="1" applyBorder="1" applyAlignment="1">
      <alignment horizontal="center"/>
    </xf>
    <xf numFmtId="167" fontId="5" fillId="15" borderId="1" xfId="1" applyNumberFormat="1" applyFont="1" applyFill="1" applyBorder="1"/>
    <xf numFmtId="3" fontId="88" fillId="15" borderId="1" xfId="1" applyNumberFormat="1" applyFont="1" applyFill="1" applyBorder="1"/>
    <xf numFmtId="0" fontId="76" fillId="0" borderId="1" xfId="1" applyNumberFormat="1" applyFont="1" applyBorder="1"/>
    <xf numFmtId="0" fontId="88" fillId="0" borderId="1" xfId="1" applyNumberFormat="1" applyFont="1" applyBorder="1"/>
    <xf numFmtId="3" fontId="88" fillId="0" borderId="1" xfId="1" applyNumberFormat="1" applyFont="1" applyBorder="1"/>
    <xf numFmtId="167" fontId="88" fillId="0" borderId="1" xfId="1" applyNumberFormat="1" applyFont="1" applyBorder="1" applyAlignment="1">
      <alignment horizontal="left"/>
    </xf>
    <xf numFmtId="0" fontId="88" fillId="0" borderId="1" xfId="1" applyNumberFormat="1" applyFont="1" applyBorder="1" applyAlignment="1">
      <alignment horizontal="right"/>
    </xf>
    <xf numFmtId="167" fontId="88" fillId="0" borderId="1" xfId="1" applyNumberFormat="1" applyFont="1" applyBorder="1" applyAlignment="1"/>
    <xf numFmtId="0" fontId="68" fillId="0" borderId="1" xfId="1" applyNumberFormat="1" applyFont="1" applyBorder="1"/>
    <xf numFmtId="0" fontId="44" fillId="0" borderId="1" xfId="1" applyNumberFormat="1" applyFont="1" applyBorder="1"/>
    <xf numFmtId="167" fontId="44" fillId="0" borderId="1" xfId="1" applyNumberFormat="1" applyFont="1" applyBorder="1"/>
    <xf numFmtId="0" fontId="44" fillId="0" borderId="1" xfId="1" applyNumberFormat="1" applyFont="1" applyBorder="1" applyAlignment="1">
      <alignment horizontal="right"/>
    </xf>
    <xf numFmtId="167" fontId="44" fillId="0" borderId="1" xfId="0" applyNumberFormat="1" applyFont="1" applyBorder="1"/>
    <xf numFmtId="3" fontId="44" fillId="0" borderId="1" xfId="0" applyNumberFormat="1" applyFont="1" applyBorder="1"/>
    <xf numFmtId="167" fontId="44" fillId="2" borderId="1" xfId="1" applyNumberFormat="1" applyFont="1" applyFill="1" applyBorder="1"/>
    <xf numFmtId="167" fontId="44" fillId="0" borderId="1" xfId="1" applyNumberFormat="1" applyFont="1" applyBorder="1" applyAlignment="1">
      <alignment horizontal="left"/>
    </xf>
    <xf numFmtId="167" fontId="88" fillId="0" borderId="1" xfId="1" quotePrefix="1" applyNumberFormat="1" applyFont="1" applyBorder="1" applyAlignment="1">
      <alignment horizontal="right"/>
    </xf>
    <xf numFmtId="3" fontId="44" fillId="2" borderId="1" xfId="1" applyNumberFormat="1" applyFont="1" applyFill="1" applyBorder="1"/>
    <xf numFmtId="167" fontId="44" fillId="0" borderId="1" xfId="1" applyNumberFormat="1" applyFont="1" applyBorder="1" applyAlignment="1"/>
    <xf numFmtId="167" fontId="44" fillId="0" borderId="1" xfId="1" applyNumberFormat="1" applyFont="1" applyBorder="1" applyAlignment="1">
      <alignment horizontal="right"/>
    </xf>
    <xf numFmtId="167" fontId="44" fillId="0" borderId="1" xfId="1" applyNumberFormat="1" applyFont="1" applyBorder="1" applyAlignment="1">
      <alignment horizontal="center" vertical="center"/>
    </xf>
    <xf numFmtId="3" fontId="44" fillId="0" borderId="1" xfId="1" applyNumberFormat="1" applyFont="1" applyBorder="1" applyAlignment="1">
      <alignment horizontal="center" vertical="center"/>
    </xf>
    <xf numFmtId="167" fontId="44" fillId="2" borderId="1" xfId="1" applyNumberFormat="1" applyFont="1" applyFill="1" applyBorder="1" applyAlignment="1">
      <alignment horizontal="center" vertical="center"/>
    </xf>
    <xf numFmtId="0" fontId="122" fillId="0" borderId="0" xfId="0" applyFont="1"/>
    <xf numFmtId="0" fontId="123" fillId="0" borderId="0" xfId="0" applyFont="1"/>
    <xf numFmtId="0" fontId="124" fillId="0" borderId="0" xfId="0" applyFont="1"/>
    <xf numFmtId="0" fontId="125" fillId="0" borderId="0" xfId="0" applyFont="1"/>
    <xf numFmtId="0" fontId="38" fillId="0" borderId="0" xfId="0" applyFont="1"/>
    <xf numFmtId="0" fontId="109" fillId="0" borderId="0" xfId="0" applyFont="1"/>
    <xf numFmtId="0" fontId="6" fillId="0" borderId="36" xfId="0" applyFont="1" applyBorder="1" applyAlignment="1">
      <alignment horizontal="center" vertical="center" wrapText="1"/>
    </xf>
    <xf numFmtId="0" fontId="126" fillId="0" borderId="37" xfId="0" applyFont="1" applyBorder="1" applyAlignment="1">
      <alignment horizontal="center" vertical="center" wrapText="1"/>
    </xf>
    <xf numFmtId="0" fontId="54" fillId="0" borderId="37" xfId="0" applyFont="1" applyBorder="1" applyAlignment="1">
      <alignment horizontal="center" vertical="center" wrapText="1"/>
    </xf>
    <xf numFmtId="0" fontId="126" fillId="0" borderId="39" xfId="0" applyFont="1" applyBorder="1" applyAlignment="1">
      <alignment horizontal="center" vertical="center" wrapText="1"/>
    </xf>
    <xf numFmtId="0" fontId="7" fillId="0" borderId="31" xfId="0" applyFont="1" applyBorder="1" applyAlignment="1">
      <alignment horizontal="center" wrapText="1"/>
    </xf>
    <xf numFmtId="0" fontId="127" fillId="0" borderId="1" xfId="0" applyFont="1" applyBorder="1" applyAlignment="1"/>
    <xf numFmtId="3" fontId="7" fillId="0" borderId="1" xfId="0" applyNumberFormat="1" applyFont="1" applyBorder="1" applyAlignment="1"/>
    <xf numFmtId="3" fontId="54" fillId="0" borderId="1" xfId="0" applyNumberFormat="1" applyFont="1" applyBorder="1"/>
    <xf numFmtId="0" fontId="127" fillId="0" borderId="1" xfId="0" applyFont="1" applyBorder="1" applyAlignment="1">
      <alignment horizontal="center" wrapText="1"/>
    </xf>
    <xf numFmtId="0" fontId="127" fillId="0" borderId="2" xfId="0" applyFont="1" applyBorder="1" applyAlignment="1">
      <alignment horizontal="center" wrapText="1"/>
    </xf>
    <xf numFmtId="0" fontId="128" fillId="0" borderId="1" xfId="0" applyFont="1" applyBorder="1" applyAlignment="1">
      <alignment horizontal="center" wrapText="1"/>
    </xf>
    <xf numFmtId="0" fontId="127" fillId="0" borderId="8" xfId="0" applyFont="1" applyBorder="1" applyAlignment="1"/>
    <xf numFmtId="3" fontId="7" fillId="0" borderId="8" xfId="0" applyNumberFormat="1" applyFont="1" applyBorder="1" applyAlignment="1"/>
    <xf numFmtId="0" fontId="127" fillId="0" borderId="14" xfId="0" applyFont="1" applyBorder="1" applyAlignment="1"/>
    <xf numFmtId="3" fontId="7" fillId="0" borderId="29" xfId="0" applyNumberFormat="1" applyFont="1" applyBorder="1" applyAlignment="1"/>
    <xf numFmtId="3" fontId="54" fillId="0" borderId="29" xfId="0" applyNumberFormat="1" applyFont="1" applyBorder="1"/>
    <xf numFmtId="0" fontId="127" fillId="0" borderId="10" xfId="0" applyFont="1" applyBorder="1" applyAlignment="1"/>
    <xf numFmtId="3" fontId="7" fillId="0" borderId="10" xfId="0" applyNumberFormat="1" applyFont="1" applyBorder="1" applyAlignment="1"/>
    <xf numFmtId="0" fontId="109" fillId="0" borderId="32" xfId="0" applyFont="1" applyBorder="1" applyAlignment="1"/>
    <xf numFmtId="0" fontId="129" fillId="0" borderId="3" xfId="0" applyFont="1" applyBorder="1" applyAlignment="1">
      <alignment horizontal="center" wrapText="1"/>
    </xf>
    <xf numFmtId="3" fontId="54" fillId="0" borderId="3" xfId="0" applyNumberFormat="1" applyFont="1" applyBorder="1" applyAlignment="1">
      <alignment horizontal="right" wrapText="1"/>
    </xf>
    <xf numFmtId="3" fontId="130" fillId="0" borderId="3" xfId="0" applyNumberFormat="1" applyFont="1" applyBorder="1" applyAlignment="1">
      <alignment horizontal="right"/>
    </xf>
    <xf numFmtId="0" fontId="131" fillId="0" borderId="3" xfId="0" applyFont="1" applyBorder="1" applyAlignment="1">
      <alignment horizontal="justify"/>
    </xf>
    <xf numFmtId="0" fontId="131" fillId="0" borderId="4" xfId="0" applyFont="1" applyBorder="1" applyAlignment="1">
      <alignment horizontal="justify"/>
    </xf>
    <xf numFmtId="0" fontId="123" fillId="0" borderId="0" xfId="0" applyFont="1" applyAlignment="1">
      <alignment horizontal="center"/>
    </xf>
    <xf numFmtId="0" fontId="125" fillId="0" borderId="0" xfId="0" applyFont="1" applyAlignment="1">
      <alignment horizontal="center"/>
    </xf>
    <xf numFmtId="0" fontId="124" fillId="0" borderId="0" xfId="0" applyFont="1" applyAlignment="1">
      <alignment horizontal="center"/>
    </xf>
    <xf numFmtId="0" fontId="109" fillId="0" borderId="0" xfId="0" applyFont="1" applyAlignment="1">
      <alignment horizontal="center"/>
    </xf>
    <xf numFmtId="3" fontId="54" fillId="0" borderId="37" xfId="0" applyNumberFormat="1" applyFont="1" applyBorder="1" applyAlignment="1">
      <alignment horizontal="center" vertical="center" wrapText="1"/>
    </xf>
    <xf numFmtId="0" fontId="54" fillId="0" borderId="39" xfId="0" applyFont="1" applyBorder="1" applyAlignment="1">
      <alignment horizontal="center" vertical="center" wrapText="1"/>
    </xf>
    <xf numFmtId="0" fontId="6" fillId="0" borderId="31" xfId="0" applyFont="1" applyBorder="1" applyAlignment="1">
      <alignment horizontal="center" wrapText="1"/>
    </xf>
    <xf numFmtId="3" fontId="132" fillId="0" borderId="29" xfId="0" applyNumberFormat="1" applyFont="1" applyBorder="1" applyAlignment="1">
      <alignment horizontal="right"/>
    </xf>
    <xf numFmtId="3" fontId="104" fillId="0" borderId="1" xfId="0" applyNumberFormat="1" applyFont="1" applyBorder="1" applyAlignment="1">
      <alignment horizontal="center"/>
    </xf>
    <xf numFmtId="0" fontId="7" fillId="0" borderId="1" xfId="0" applyFont="1" applyBorder="1" applyAlignment="1">
      <alignment horizontal="center" wrapText="1"/>
    </xf>
    <xf numFmtId="0" fontId="7" fillId="0" borderId="2" xfId="0" applyFont="1" applyBorder="1" applyAlignment="1">
      <alignment horizontal="center" wrapText="1"/>
    </xf>
    <xf numFmtId="0" fontId="124" fillId="0" borderId="32" xfId="0" applyFont="1" applyBorder="1" applyAlignment="1"/>
    <xf numFmtId="0" fontId="38" fillId="0" borderId="3" xfId="0" applyFont="1" applyBorder="1" applyAlignment="1">
      <alignment horizontal="left" wrapText="1"/>
    </xf>
    <xf numFmtId="3" fontId="54" fillId="0" borderId="3" xfId="0" applyNumberFormat="1" applyFont="1" applyBorder="1"/>
    <xf numFmtId="3" fontId="38" fillId="0" borderId="3" xfId="0" applyNumberFormat="1" applyFont="1" applyBorder="1" applyAlignment="1">
      <alignment horizontal="center"/>
    </xf>
    <xf numFmtId="0" fontId="128" fillId="0" borderId="3" xfId="0" applyFont="1" applyBorder="1" applyAlignment="1">
      <alignment horizontal="center" wrapText="1"/>
    </xf>
    <xf numFmtId="0" fontId="127" fillId="0" borderId="3" xfId="0" applyFont="1" applyBorder="1" applyAlignment="1">
      <alignment horizontal="center" wrapText="1"/>
    </xf>
    <xf numFmtId="0" fontId="127" fillId="0" borderId="4" xfId="0" applyFont="1" applyBorder="1" applyAlignment="1">
      <alignment horizontal="center" wrapText="1"/>
    </xf>
    <xf numFmtId="3" fontId="132" fillId="0" borderId="1" xfId="0" applyNumberFormat="1" applyFont="1" applyBorder="1" applyAlignment="1">
      <alignment horizontal="center"/>
    </xf>
    <xf numFmtId="3" fontId="104" fillId="0" borderId="10" xfId="0" applyNumberFormat="1" applyFont="1" applyBorder="1" applyAlignment="1">
      <alignment horizontal="center"/>
    </xf>
    <xf numFmtId="0" fontId="127" fillId="0" borderId="10" xfId="0" applyFont="1" applyBorder="1" applyAlignment="1">
      <alignment horizontal="center" wrapText="1"/>
    </xf>
    <xf numFmtId="0" fontId="127" fillId="0" borderId="73" xfId="0" applyFont="1" applyBorder="1" applyAlignment="1">
      <alignment horizontal="center" wrapText="1"/>
    </xf>
    <xf numFmtId="0" fontId="6" fillId="0" borderId="57" xfId="0" applyFont="1" applyBorder="1" applyAlignment="1">
      <alignment horizontal="center" wrapText="1"/>
    </xf>
    <xf numFmtId="3" fontId="132" fillId="0" borderId="29" xfId="0" applyNumberFormat="1" applyFont="1" applyBorder="1" applyAlignment="1">
      <alignment horizontal="center"/>
    </xf>
    <xf numFmtId="0" fontId="127" fillId="0" borderId="7" xfId="0" applyFont="1" applyBorder="1" applyAlignment="1"/>
    <xf numFmtId="3" fontId="7" fillId="0" borderId="71" xfId="0" applyNumberFormat="1" applyFont="1" applyBorder="1" applyAlignment="1"/>
    <xf numFmtId="3" fontId="104" fillId="0" borderId="29" xfId="0" applyNumberFormat="1" applyFont="1" applyBorder="1" applyAlignment="1">
      <alignment horizontal="center"/>
    </xf>
    <xf numFmtId="3" fontId="7" fillId="0" borderId="70" xfId="0" applyNumberFormat="1" applyFont="1" applyBorder="1" applyAlignment="1"/>
    <xf numFmtId="3" fontId="132" fillId="8" borderId="29" xfId="0" applyNumberFormat="1" applyFont="1" applyFill="1" applyBorder="1" applyAlignment="1">
      <alignment horizontal="center"/>
    </xf>
    <xf numFmtId="0" fontId="0" fillId="8" borderId="2" xfId="0" applyFill="1" applyBorder="1" applyAlignment="1">
      <alignment horizontal="center"/>
    </xf>
    <xf numFmtId="0" fontId="7" fillId="0" borderId="1" xfId="0" applyFont="1" applyBorder="1" applyAlignment="1"/>
    <xf numFmtId="0" fontId="6" fillId="0" borderId="58" xfId="0" applyFont="1" applyBorder="1" applyAlignment="1">
      <alignment horizontal="center" wrapText="1"/>
    </xf>
    <xf numFmtId="3" fontId="7" fillId="0" borderId="65" xfId="0" applyNumberFormat="1" applyFont="1" applyBorder="1" applyAlignment="1"/>
    <xf numFmtId="0" fontId="133" fillId="0" borderId="42" xfId="0" applyFont="1" applyBorder="1" applyAlignment="1"/>
    <xf numFmtId="0" fontId="134" fillId="0" borderId="8" xfId="0" applyFont="1" applyBorder="1" applyAlignment="1">
      <alignment horizontal="left" wrapText="1"/>
    </xf>
    <xf numFmtId="3" fontId="54" fillId="0" borderId="76" xfId="0" applyNumberFormat="1" applyFont="1" applyBorder="1" applyAlignment="1">
      <alignment horizontal="right" wrapText="1"/>
    </xf>
    <xf numFmtId="3" fontId="54" fillId="0" borderId="76" xfId="0" applyNumberFormat="1" applyFont="1" applyBorder="1" applyAlignment="1">
      <alignment horizontal="center"/>
    </xf>
    <xf numFmtId="3" fontId="54" fillId="0" borderId="8" xfId="0" applyNumberFormat="1" applyFont="1" applyBorder="1" applyAlignment="1">
      <alignment horizontal="center"/>
    </xf>
    <xf numFmtId="0" fontId="127" fillId="0" borderId="8" xfId="0" applyFont="1" applyBorder="1" applyAlignment="1">
      <alignment horizontal="center" wrapText="1"/>
    </xf>
    <xf numFmtId="0" fontId="127" fillId="0" borderId="74" xfId="0" applyFont="1" applyBorder="1" applyAlignment="1">
      <alignment horizontal="center" wrapText="1"/>
    </xf>
    <xf numFmtId="0" fontId="109" fillId="8" borderId="11" xfId="0" applyFont="1" applyFill="1" applyBorder="1"/>
    <xf numFmtId="0" fontId="129" fillId="8" borderId="13" xfId="0" applyFont="1" applyFill="1" applyBorder="1" applyAlignment="1">
      <alignment horizontal="left" wrapText="1"/>
    </xf>
    <xf numFmtId="3" fontId="135" fillId="0" borderId="13" xfId="0" applyNumberFormat="1" applyFont="1" applyBorder="1" applyAlignment="1">
      <alignment horizontal="center"/>
    </xf>
    <xf numFmtId="3" fontId="135" fillId="0" borderId="30" xfId="0" applyNumberFormat="1" applyFont="1" applyBorder="1" applyAlignment="1">
      <alignment horizontal="center"/>
    </xf>
    <xf numFmtId="3" fontId="135" fillId="0" borderId="12" xfId="0" applyNumberFormat="1" applyFont="1" applyBorder="1" applyAlignment="1">
      <alignment horizontal="center"/>
    </xf>
    <xf numFmtId="0" fontId="129" fillId="8" borderId="12" xfId="0" applyFont="1" applyFill="1" applyBorder="1" applyAlignment="1">
      <alignment horizontal="center" wrapText="1"/>
    </xf>
    <xf numFmtId="0" fontId="109" fillId="8" borderId="30" xfId="0" applyFont="1" applyFill="1" applyBorder="1"/>
    <xf numFmtId="0" fontId="129" fillId="8" borderId="13" xfId="0" applyFont="1" applyFill="1" applyBorder="1" applyAlignment="1">
      <alignment horizontal="center" wrapText="1"/>
    </xf>
    <xf numFmtId="167" fontId="0" fillId="0" borderId="0" xfId="0" applyNumberFormat="1"/>
    <xf numFmtId="167" fontId="28" fillId="0" borderId="0" xfId="0" applyNumberFormat="1" applyFont="1"/>
    <xf numFmtId="167" fontId="88" fillId="15" borderId="1" xfId="1" applyNumberFormat="1" applyFont="1" applyFill="1" applyBorder="1" applyAlignment="1"/>
    <xf numFmtId="167" fontId="88" fillId="8" borderId="1" xfId="1" applyNumberFormat="1" applyFont="1" applyFill="1" applyBorder="1"/>
    <xf numFmtId="167" fontId="44" fillId="0" borderId="1" xfId="1" applyNumberFormat="1" applyFont="1" applyBorder="1" applyAlignment="1">
      <alignment horizontal="center"/>
    </xf>
    <xf numFmtId="3" fontId="44" fillId="0" borderId="1" xfId="1" applyNumberFormat="1" applyFont="1" applyBorder="1" applyAlignment="1">
      <alignment horizontal="center"/>
    </xf>
    <xf numFmtId="167" fontId="44" fillId="2" borderId="1" xfId="1" applyNumberFormat="1" applyFont="1" applyFill="1" applyBorder="1" applyAlignment="1">
      <alignment horizontal="center"/>
    </xf>
    <xf numFmtId="167" fontId="76" fillId="0" borderId="0" xfId="1" applyNumberFormat="1" applyFont="1"/>
    <xf numFmtId="167" fontId="88" fillId="0" borderId="0" xfId="1" applyNumberFormat="1" applyFont="1"/>
    <xf numFmtId="167" fontId="44" fillId="0" borderId="0" xfId="1" applyNumberFormat="1" applyFont="1" applyAlignment="1">
      <alignment horizontal="right"/>
    </xf>
    <xf numFmtId="167" fontId="44" fillId="0" borderId="0" xfId="1" applyNumberFormat="1" applyFont="1"/>
    <xf numFmtId="3" fontId="44" fillId="0" borderId="0" xfId="1" applyNumberFormat="1" applyFont="1"/>
    <xf numFmtId="167" fontId="44" fillId="0" borderId="0" xfId="1" applyNumberFormat="1" applyFont="1" applyAlignment="1"/>
    <xf numFmtId="168" fontId="137" fillId="0" borderId="0" xfId="1" applyNumberFormat="1" applyFont="1" applyFill="1" applyBorder="1" applyAlignment="1">
      <alignment horizontal="center" vertical="center"/>
    </xf>
    <xf numFmtId="168" fontId="138" fillId="0" borderId="0" xfId="1" applyNumberFormat="1" applyFont="1" applyFill="1" applyBorder="1" applyAlignment="1">
      <alignment horizontal="center" vertical="center"/>
    </xf>
    <xf numFmtId="0" fontId="138" fillId="0" borderId="0" xfId="0" applyFont="1" applyFill="1" applyBorder="1" applyAlignment="1">
      <alignment horizontal="center" vertical="center"/>
    </xf>
    <xf numFmtId="0" fontId="137" fillId="0" borderId="0" xfId="0" applyFont="1" applyFill="1" applyBorder="1" applyAlignment="1">
      <alignment horizontal="center" vertical="center"/>
    </xf>
    <xf numFmtId="168" fontId="137" fillId="0" borderId="0" xfId="0" applyNumberFormat="1" applyFont="1" applyFill="1" applyBorder="1" applyAlignment="1">
      <alignment horizontal="center" vertical="center"/>
    </xf>
    <xf numFmtId="0" fontId="137" fillId="0" borderId="0" xfId="0" applyFont="1" applyFill="1" applyBorder="1" applyAlignment="1">
      <alignment horizontal="center" vertical="center" wrapText="1"/>
    </xf>
    <xf numFmtId="0" fontId="140" fillId="0" borderId="0" xfId="0" applyNumberFormat="1" applyFont="1" applyFill="1" applyBorder="1" applyAlignment="1">
      <alignment horizontal="center" vertical="center" wrapText="1" readingOrder="1"/>
    </xf>
    <xf numFmtId="168" fontId="138" fillId="0" borderId="0" xfId="0" applyNumberFormat="1" applyFont="1" applyFill="1" applyBorder="1" applyAlignment="1">
      <alignment horizontal="center" vertical="center"/>
    </xf>
    <xf numFmtId="0" fontId="138" fillId="0" borderId="0" xfId="0" applyFont="1" applyFill="1" applyBorder="1" applyAlignment="1">
      <alignment horizontal="center" vertical="center" wrapText="1"/>
    </xf>
    <xf numFmtId="0" fontId="141" fillId="0" borderId="0" xfId="0" applyFont="1" applyFill="1" applyBorder="1" applyAlignment="1">
      <alignment horizontal="center" vertical="center"/>
    </xf>
    <xf numFmtId="0" fontId="142" fillId="16" borderId="77" xfId="0" applyNumberFormat="1" applyFont="1" applyFill="1" applyBorder="1" applyAlignment="1">
      <alignment horizontal="center" vertical="center" wrapText="1" readingOrder="1"/>
    </xf>
    <xf numFmtId="0" fontId="143" fillId="0" borderId="77" xfId="0" applyNumberFormat="1" applyFont="1" applyFill="1" applyBorder="1" applyAlignment="1">
      <alignment horizontal="center" vertical="center" wrapText="1" readingOrder="1"/>
    </xf>
    <xf numFmtId="168" fontId="143" fillId="0" borderId="77" xfId="1" applyNumberFormat="1" applyFont="1" applyFill="1" applyBorder="1" applyAlignment="1">
      <alignment horizontal="center" vertical="center" wrapText="1" readingOrder="1"/>
    </xf>
    <xf numFmtId="0" fontId="141" fillId="0" borderId="80" xfId="0" applyNumberFormat="1" applyFont="1" applyFill="1" applyBorder="1" applyAlignment="1">
      <alignment horizontal="center" vertical="center" wrapText="1"/>
    </xf>
    <xf numFmtId="168" fontId="141" fillId="0" borderId="80" xfId="1" applyNumberFormat="1" applyFont="1" applyFill="1" applyBorder="1" applyAlignment="1">
      <alignment horizontal="center" vertical="center" wrapText="1"/>
    </xf>
    <xf numFmtId="168" fontId="121" fillId="0" borderId="1" xfId="0" applyNumberFormat="1" applyFont="1" applyFill="1" applyBorder="1" applyAlignment="1">
      <alignment horizontal="center" vertical="center" wrapText="1" readingOrder="1"/>
    </xf>
    <xf numFmtId="0" fontId="121" fillId="0" borderId="1" xfId="0" applyNumberFormat="1" applyFont="1" applyFill="1" applyBorder="1" applyAlignment="1">
      <alignment horizontal="center" vertical="center" wrapText="1"/>
    </xf>
    <xf numFmtId="168" fontId="121" fillId="0" borderId="1" xfId="1" applyNumberFormat="1" applyFont="1" applyFill="1" applyBorder="1" applyAlignment="1">
      <alignment horizontal="center" vertical="center" wrapText="1" readingOrder="1"/>
    </xf>
    <xf numFmtId="22" fontId="121" fillId="0" borderId="1" xfId="0" quotePrefix="1" applyNumberFormat="1" applyFont="1" applyFill="1" applyBorder="1" applyAlignment="1">
      <alignment horizontal="center" vertical="center" wrapText="1" readingOrder="1"/>
    </xf>
    <xf numFmtId="0" fontId="121" fillId="0" borderId="1" xfId="0" applyNumberFormat="1" applyFont="1" applyFill="1" applyBorder="1" applyAlignment="1">
      <alignment horizontal="center" vertical="center" wrapText="1" readingOrder="1"/>
    </xf>
    <xf numFmtId="0" fontId="110" fillId="0" borderId="1" xfId="0" applyNumberFormat="1" applyFont="1" applyFill="1" applyBorder="1" applyAlignment="1">
      <alignment horizontal="center" vertical="center" wrapText="1" readingOrder="1"/>
    </xf>
    <xf numFmtId="0" fontId="144" fillId="0" borderId="0" xfId="0" applyFont="1" applyFill="1" applyBorder="1" applyAlignment="1">
      <alignment horizontal="center" vertical="center"/>
    </xf>
    <xf numFmtId="0" fontId="145" fillId="0" borderId="0" xfId="0" applyFont="1" applyFill="1" applyBorder="1" applyAlignment="1">
      <alignment horizontal="center" vertical="center"/>
    </xf>
    <xf numFmtId="0" fontId="146" fillId="16" borderId="77" xfId="0" applyNumberFormat="1" applyFont="1" applyFill="1" applyBorder="1" applyAlignment="1">
      <alignment horizontal="center" vertical="center" wrapText="1" readingOrder="1"/>
    </xf>
    <xf numFmtId="0" fontId="147" fillId="0" borderId="0" xfId="0" applyFont="1" applyFill="1" applyBorder="1" applyAlignment="1">
      <alignment horizontal="center" vertical="center"/>
    </xf>
    <xf numFmtId="0" fontId="121" fillId="0" borderId="77" xfId="0" applyNumberFormat="1" applyFont="1" applyFill="1" applyBorder="1" applyAlignment="1">
      <alignment horizontal="center" vertical="center" wrapText="1" readingOrder="1"/>
    </xf>
    <xf numFmtId="168" fontId="121" fillId="0" borderId="77" xfId="1" applyNumberFormat="1" applyFont="1" applyFill="1" applyBorder="1" applyAlignment="1">
      <alignment horizontal="center" vertical="center" wrapText="1" readingOrder="1"/>
    </xf>
    <xf numFmtId="168" fontId="147" fillId="0" borderId="0" xfId="1" applyNumberFormat="1" applyFont="1" applyFill="1" applyBorder="1" applyAlignment="1">
      <alignment horizontal="center" vertical="center"/>
    </xf>
    <xf numFmtId="0" fontId="148" fillId="0" borderId="0" xfId="0" applyFont="1" applyFill="1" applyBorder="1" applyAlignment="1">
      <alignment horizontal="center" vertical="center"/>
    </xf>
    <xf numFmtId="168" fontId="148" fillId="0" borderId="0" xfId="0" applyNumberFormat="1" applyFont="1" applyFill="1" applyBorder="1" applyAlignment="1">
      <alignment horizontal="center" vertical="center"/>
    </xf>
    <xf numFmtId="168" fontId="148" fillId="0" borderId="0" xfId="1" applyNumberFormat="1" applyFont="1" applyFill="1" applyBorder="1" applyAlignment="1">
      <alignment horizontal="center" vertical="center"/>
    </xf>
    <xf numFmtId="0" fontId="28" fillId="0" borderId="0" xfId="0" applyFont="1" applyFill="1" applyBorder="1" applyAlignment="1">
      <alignment horizontal="center" vertical="center"/>
    </xf>
    <xf numFmtId="0" fontId="142" fillId="16" borderId="1" xfId="0" applyNumberFormat="1" applyFont="1" applyFill="1" applyBorder="1" applyAlignment="1">
      <alignment horizontal="center" vertical="center" wrapText="1" readingOrder="1"/>
    </xf>
    <xf numFmtId="0" fontId="143" fillId="0" borderId="1" xfId="0" applyNumberFormat="1" applyFont="1" applyFill="1" applyBorder="1" applyAlignment="1">
      <alignment horizontal="center" vertical="center" wrapText="1" readingOrder="1"/>
    </xf>
    <xf numFmtId="168" fontId="143" fillId="0" borderId="1" xfId="1" applyNumberFormat="1" applyFont="1" applyFill="1" applyBorder="1" applyAlignment="1">
      <alignment horizontal="center" vertical="center" wrapText="1" readingOrder="1"/>
    </xf>
    <xf numFmtId="0" fontId="110" fillId="0" borderId="0" xfId="0" applyFont="1" applyFill="1" applyBorder="1" applyAlignment="1">
      <alignment horizontal="center" vertical="center"/>
    </xf>
    <xf numFmtId="0" fontId="110" fillId="0" borderId="1" xfId="0" applyFont="1" applyFill="1" applyBorder="1" applyAlignment="1">
      <alignment horizontal="center" vertical="center"/>
    </xf>
    <xf numFmtId="0" fontId="141" fillId="0" borderId="0" xfId="0" applyFont="1" applyFill="1" applyBorder="1"/>
    <xf numFmtId="0" fontId="143" fillId="0" borderId="89" xfId="0" applyNumberFormat="1" applyFont="1" applyFill="1" applyBorder="1" applyAlignment="1">
      <alignment horizontal="center" vertical="center" wrapText="1" readingOrder="1"/>
    </xf>
    <xf numFmtId="168" fontId="143" fillId="0" borderId="89" xfId="1" applyNumberFormat="1" applyFont="1" applyFill="1" applyBorder="1" applyAlignment="1">
      <alignment horizontal="center" vertical="center" wrapText="1" readingOrder="1"/>
    </xf>
    <xf numFmtId="0" fontId="28" fillId="0" borderId="1" xfId="0" applyFont="1" applyFill="1" applyBorder="1" applyAlignment="1">
      <alignment horizontal="center" vertical="center"/>
    </xf>
    <xf numFmtId="0" fontId="121" fillId="8" borderId="14" xfId="0" applyFont="1" applyFill="1" applyBorder="1" applyAlignment="1">
      <alignment horizontal="center" vertical="center"/>
    </xf>
    <xf numFmtId="168" fontId="121" fillId="8" borderId="77" xfId="1" applyNumberFormat="1" applyFont="1" applyFill="1" applyBorder="1" applyAlignment="1">
      <alignment horizontal="center" vertical="center" wrapText="1" readingOrder="1"/>
    </xf>
    <xf numFmtId="168" fontId="121" fillId="8" borderId="93" xfId="1" applyNumberFormat="1" applyFont="1" applyFill="1" applyBorder="1" applyAlignment="1">
      <alignment horizontal="center" vertical="center" wrapText="1" readingOrder="1"/>
    </xf>
    <xf numFmtId="0" fontId="121" fillId="8" borderId="1" xfId="0" applyFont="1" applyFill="1" applyBorder="1" applyAlignment="1">
      <alignment horizontal="center" vertical="center"/>
    </xf>
    <xf numFmtId="0" fontId="121" fillId="8" borderId="94" xfId="0" applyNumberFormat="1" applyFont="1" applyFill="1" applyBorder="1" applyAlignment="1">
      <alignment horizontal="center" vertical="center" wrapText="1" readingOrder="1"/>
    </xf>
    <xf numFmtId="0" fontId="121" fillId="0" borderId="0" xfId="0" applyFont="1" applyFill="1" applyBorder="1" applyAlignment="1">
      <alignment horizontal="center" vertical="center"/>
    </xf>
    <xf numFmtId="0" fontId="150" fillId="0" borderId="0" xfId="0" applyNumberFormat="1" applyFont="1" applyFill="1" applyBorder="1" applyAlignment="1">
      <alignment horizontal="center" vertical="center" wrapText="1" readingOrder="1"/>
    </xf>
    <xf numFmtId="0" fontId="139" fillId="0" borderId="0" xfId="0" applyFont="1" applyFill="1" applyBorder="1" applyAlignment="1">
      <alignment horizontal="center" vertical="center"/>
    </xf>
    <xf numFmtId="168" fontId="146" fillId="16" borderId="77" xfId="1" applyNumberFormat="1" applyFont="1" applyFill="1" applyBorder="1" applyAlignment="1">
      <alignment horizontal="center" vertical="center" wrapText="1" readingOrder="1"/>
    </xf>
    <xf numFmtId="169" fontId="146" fillId="16" borderId="77" xfId="1" applyNumberFormat="1" applyFont="1" applyFill="1" applyBorder="1" applyAlignment="1">
      <alignment horizontal="center" vertical="center" wrapText="1" readingOrder="1"/>
    </xf>
    <xf numFmtId="169" fontId="121" fillId="0" borderId="77" xfId="1" applyNumberFormat="1" applyFont="1" applyFill="1" applyBorder="1" applyAlignment="1">
      <alignment horizontal="center" vertical="center" wrapText="1" readingOrder="1"/>
    </xf>
    <xf numFmtId="14" fontId="121" fillId="0" borderId="77" xfId="0" applyNumberFormat="1" applyFont="1" applyFill="1" applyBorder="1" applyAlignment="1">
      <alignment horizontal="center" vertical="center" wrapText="1" readingOrder="1"/>
    </xf>
    <xf numFmtId="168" fontId="110" fillId="0" borderId="1" xfId="0" applyNumberFormat="1" applyFont="1" applyFill="1" applyBorder="1" applyAlignment="1">
      <alignment horizontal="center" vertical="center" wrapText="1" readingOrder="1"/>
    </xf>
    <xf numFmtId="0" fontId="110" fillId="0" borderId="1" xfId="0" applyNumberFormat="1" applyFont="1" applyFill="1" applyBorder="1" applyAlignment="1">
      <alignment horizontal="center" vertical="center" wrapText="1"/>
    </xf>
    <xf numFmtId="22" fontId="110" fillId="0" borderId="1" xfId="0" quotePrefix="1" applyNumberFormat="1" applyFont="1" applyFill="1" applyBorder="1" applyAlignment="1">
      <alignment horizontal="center" vertical="center" wrapText="1" readingOrder="1"/>
    </xf>
    <xf numFmtId="168" fontId="121" fillId="0" borderId="0" xfId="0" applyNumberFormat="1" applyFont="1" applyFill="1" applyBorder="1" applyAlignment="1">
      <alignment horizontal="center" vertical="center" wrapText="1" readingOrder="1"/>
    </xf>
    <xf numFmtId="0" fontId="121" fillId="0" borderId="0" xfId="0" applyNumberFormat="1" applyFont="1" applyFill="1" applyBorder="1" applyAlignment="1">
      <alignment horizontal="center" vertical="center" wrapText="1" readingOrder="1"/>
    </xf>
    <xf numFmtId="0" fontId="121" fillId="0" borderId="0" xfId="0" applyNumberFormat="1" applyFont="1" applyFill="1" applyBorder="1" applyAlignment="1">
      <alignment horizontal="center" vertical="center" wrapText="1"/>
    </xf>
    <xf numFmtId="168" fontId="121" fillId="0" borderId="0" xfId="1" applyNumberFormat="1" applyFont="1" applyFill="1" applyBorder="1" applyAlignment="1">
      <alignment horizontal="center" vertical="center" wrapText="1" readingOrder="1"/>
    </xf>
    <xf numFmtId="22" fontId="121" fillId="0" borderId="0" xfId="0" quotePrefix="1" applyNumberFormat="1" applyFont="1" applyFill="1" applyBorder="1" applyAlignment="1">
      <alignment horizontal="center" vertical="center" wrapText="1" readingOrder="1"/>
    </xf>
    <xf numFmtId="0" fontId="142" fillId="16" borderId="77" xfId="0" applyNumberFormat="1" applyFont="1" applyFill="1" applyBorder="1" applyAlignment="1">
      <alignment horizontal="center" vertical="top" wrapText="1" readingOrder="1"/>
    </xf>
    <xf numFmtId="0" fontId="143" fillId="0" borderId="77" xfId="0" applyNumberFormat="1" applyFont="1" applyFill="1" applyBorder="1" applyAlignment="1">
      <alignment horizontal="left" vertical="top" wrapText="1" readingOrder="1"/>
    </xf>
    <xf numFmtId="168" fontId="143" fillId="0" borderId="77" xfId="1" applyNumberFormat="1" applyFont="1" applyFill="1" applyBorder="1" applyAlignment="1">
      <alignment horizontal="left" vertical="top" wrapText="1" readingOrder="1"/>
    </xf>
    <xf numFmtId="168" fontId="143" fillId="0" borderId="77" xfId="1" applyNumberFormat="1" applyFont="1" applyFill="1" applyBorder="1" applyAlignment="1">
      <alignment horizontal="right" vertical="top" wrapText="1" readingOrder="1"/>
    </xf>
    <xf numFmtId="0" fontId="143" fillId="0" borderId="77" xfId="0" applyNumberFormat="1" applyFont="1" applyFill="1" applyBorder="1" applyAlignment="1">
      <alignment vertical="top" wrapText="1" readingOrder="1"/>
    </xf>
    <xf numFmtId="0" fontId="143" fillId="0" borderId="89" xfId="0" applyNumberFormat="1" applyFont="1" applyFill="1" applyBorder="1" applyAlignment="1">
      <alignment vertical="top" wrapText="1" readingOrder="1"/>
    </xf>
    <xf numFmtId="0" fontId="143" fillId="0" borderId="77" xfId="0" applyNumberFormat="1" applyFont="1" applyFill="1" applyBorder="1" applyAlignment="1">
      <alignment horizontal="left" vertical="center" wrapText="1" readingOrder="1"/>
    </xf>
    <xf numFmtId="168" fontId="151" fillId="0" borderId="77" xfId="1" applyNumberFormat="1" applyFont="1" applyFill="1" applyBorder="1" applyAlignment="1">
      <alignment horizontal="left" vertical="center" wrapText="1"/>
    </xf>
    <xf numFmtId="168" fontId="143" fillId="0" borderId="95" xfId="1" applyNumberFormat="1" applyFont="1" applyFill="1" applyBorder="1" applyAlignment="1">
      <alignment vertical="top" wrapText="1" readingOrder="1"/>
    </xf>
    <xf numFmtId="0" fontId="141" fillId="0" borderId="1" xfId="0" applyNumberFormat="1" applyFont="1" applyFill="1" applyBorder="1" applyAlignment="1">
      <alignment vertical="top" wrapText="1" readingOrder="1"/>
    </xf>
    <xf numFmtId="0" fontId="151" fillId="0" borderId="77" xfId="0" applyNumberFormat="1" applyFont="1" applyFill="1" applyBorder="1" applyAlignment="1">
      <alignment vertical="center" wrapText="1"/>
    </xf>
    <xf numFmtId="168" fontId="143" fillId="0" borderId="77" xfId="1" applyNumberFormat="1" applyFont="1" applyFill="1" applyBorder="1" applyAlignment="1">
      <alignment horizontal="left" vertical="center" wrapText="1" readingOrder="1"/>
    </xf>
    <xf numFmtId="0" fontId="143" fillId="0" borderId="80" xfId="0" applyNumberFormat="1" applyFont="1" applyFill="1" applyBorder="1" applyAlignment="1">
      <alignment vertical="top" wrapText="1" readingOrder="1"/>
    </xf>
    <xf numFmtId="0" fontId="143" fillId="0" borderId="77" xfId="0" applyNumberFormat="1" applyFont="1" applyFill="1" applyBorder="1" applyAlignment="1">
      <alignment vertical="center" wrapText="1" readingOrder="1"/>
    </xf>
    <xf numFmtId="0" fontId="143" fillId="0" borderId="90" xfId="0" applyNumberFormat="1" applyFont="1" applyFill="1" applyBorder="1" applyAlignment="1">
      <alignment horizontal="center" vertical="center" wrapText="1" readingOrder="1"/>
    </xf>
    <xf numFmtId="0" fontId="143" fillId="0" borderId="96" xfId="0" applyNumberFormat="1" applyFont="1" applyFill="1" applyBorder="1" applyAlignment="1">
      <alignment horizontal="center" vertical="center" wrapText="1" readingOrder="1"/>
    </xf>
    <xf numFmtId="168" fontId="143" fillId="0" borderId="97" xfId="1" applyNumberFormat="1" applyFont="1" applyFill="1" applyBorder="1" applyAlignment="1">
      <alignment horizontal="center" vertical="center" wrapText="1" readingOrder="1"/>
    </xf>
    <xf numFmtId="0" fontId="143" fillId="0" borderId="97" xfId="0" applyNumberFormat="1" applyFont="1" applyFill="1" applyBorder="1" applyAlignment="1">
      <alignment horizontal="center" vertical="center" wrapText="1" readingOrder="1"/>
    </xf>
    <xf numFmtId="0" fontId="143" fillId="0" borderId="99" xfId="0" applyNumberFormat="1" applyFont="1" applyFill="1" applyBorder="1" applyAlignment="1">
      <alignment horizontal="center" vertical="center" wrapText="1" readingOrder="1"/>
    </xf>
    <xf numFmtId="0" fontId="137" fillId="0" borderId="1" xfId="0" applyFont="1" applyFill="1" applyBorder="1" applyAlignment="1">
      <alignment horizontal="center" vertical="center"/>
    </xf>
    <xf numFmtId="0" fontId="153" fillId="0" borderId="0" xfId="0" applyFont="1" applyFill="1" applyBorder="1" applyAlignment="1">
      <alignment horizontal="center" vertical="center"/>
    </xf>
    <xf numFmtId="170" fontId="121" fillId="0" borderId="77" xfId="1" applyNumberFormat="1" applyFont="1" applyFill="1" applyBorder="1" applyAlignment="1">
      <alignment horizontal="center" vertical="center" wrapText="1" readingOrder="1"/>
    </xf>
    <xf numFmtId="0" fontId="67" fillId="4" borderId="100" xfId="0" applyNumberFormat="1" applyFont="1" applyFill="1" applyBorder="1" applyAlignment="1">
      <alignment horizontal="center" vertical="center" wrapText="1" readingOrder="1"/>
    </xf>
    <xf numFmtId="0" fontId="48" fillId="0" borderId="100" xfId="0" applyNumberFormat="1" applyFont="1" applyFill="1" applyBorder="1" applyAlignment="1">
      <alignment horizontal="center" vertical="center" wrapText="1" readingOrder="1"/>
    </xf>
    <xf numFmtId="168" fontId="48" fillId="0" borderId="100" xfId="1" applyNumberFormat="1" applyFont="1" applyFill="1" applyBorder="1" applyAlignment="1">
      <alignment horizontal="center" vertical="center" wrapText="1" readingOrder="1"/>
    </xf>
    <xf numFmtId="0" fontId="136" fillId="0" borderId="0" xfId="0" applyNumberFormat="1" applyFont="1" applyFill="1" applyBorder="1" applyAlignment="1">
      <alignment horizontal="center" vertical="center" wrapText="1" readingOrder="1"/>
    </xf>
    <xf numFmtId="0" fontId="136" fillId="0" borderId="0" xfId="0" applyFont="1" applyFill="1" applyBorder="1" applyAlignment="1">
      <alignment horizontal="center" vertical="center"/>
    </xf>
    <xf numFmtId="0" fontId="139" fillId="0" borderId="0" xfId="0" applyNumberFormat="1" applyFont="1" applyFill="1" applyBorder="1" applyAlignment="1">
      <alignment horizontal="center" vertical="center" wrapText="1" readingOrder="1"/>
    </xf>
    <xf numFmtId="0" fontId="149" fillId="0" borderId="0" xfId="0" applyNumberFormat="1" applyFont="1" applyFill="1" applyBorder="1" applyAlignment="1">
      <alignment horizontal="center" vertical="center" wrapText="1" readingOrder="1"/>
    </xf>
    <xf numFmtId="0" fontId="28" fillId="0" borderId="1" xfId="0" applyFont="1" applyFill="1" applyBorder="1" applyAlignment="1">
      <alignment horizontal="center" vertical="center" readingOrder="1"/>
    </xf>
    <xf numFmtId="168" fontId="141" fillId="0" borderId="29" xfId="1" applyNumberFormat="1" applyFont="1" applyFill="1" applyBorder="1" applyAlignment="1">
      <alignment horizontal="center" vertical="center" readingOrder="1"/>
    </xf>
    <xf numFmtId="168" fontId="28" fillId="0" borderId="1" xfId="1" applyNumberFormat="1" applyFont="1" applyFill="1" applyBorder="1" applyAlignment="1">
      <alignment horizontal="center" vertical="center" readingOrder="1"/>
    </xf>
    <xf numFmtId="0" fontId="141" fillId="0" borderId="1" xfId="0" applyFont="1" applyFill="1" applyBorder="1" applyAlignment="1">
      <alignment horizontal="center" vertical="center" readingOrder="1"/>
    </xf>
    <xf numFmtId="0" fontId="110" fillId="0" borderId="0" xfId="0" applyNumberFormat="1" applyFont="1" applyFill="1" applyBorder="1" applyAlignment="1">
      <alignment horizontal="center" vertical="center" wrapText="1" readingOrder="1"/>
    </xf>
    <xf numFmtId="168" fontId="121" fillId="0" borderId="0" xfId="1" applyNumberFormat="1" applyFont="1" applyFill="1" applyBorder="1" applyAlignment="1">
      <alignment horizontal="center" vertical="center"/>
    </xf>
    <xf numFmtId="168" fontId="110" fillId="0" borderId="0" xfId="1" applyNumberFormat="1" applyFont="1" applyFill="1" applyBorder="1" applyAlignment="1">
      <alignment horizontal="center" vertical="center"/>
    </xf>
    <xf numFmtId="0" fontId="154" fillId="0" borderId="0" xfId="0" applyFont="1" applyAlignment="1">
      <alignment horizontal="center" vertical="center"/>
    </xf>
    <xf numFmtId="0" fontId="142" fillId="16" borderId="77" xfId="0" applyFont="1" applyFill="1" applyBorder="1" applyAlignment="1">
      <alignment horizontal="center" vertical="center" wrapText="1" readingOrder="1"/>
    </xf>
    <xf numFmtId="0" fontId="143" fillId="0" borderId="77" xfId="0" applyFont="1" applyBorder="1" applyAlignment="1">
      <alignment horizontal="center" vertical="center" wrapText="1" readingOrder="1"/>
    </xf>
    <xf numFmtId="168" fontId="143" fillId="0" borderId="77" xfId="1" applyNumberFormat="1" applyFont="1" applyBorder="1" applyAlignment="1">
      <alignment horizontal="center" vertical="center" wrapText="1" readingOrder="1"/>
    </xf>
    <xf numFmtId="170" fontId="143" fillId="0" borderId="77" xfId="1" applyNumberFormat="1" applyFont="1" applyBorder="1" applyAlignment="1">
      <alignment horizontal="center" vertical="center" wrapText="1" readingOrder="1"/>
    </xf>
    <xf numFmtId="0" fontId="143" fillId="0" borderId="89" xfId="0" applyFont="1" applyBorder="1" applyAlignment="1">
      <alignment horizontal="center" vertical="center" wrapText="1" readingOrder="1"/>
    </xf>
    <xf numFmtId="168" fontId="143" fillId="0" borderId="89" xfId="1" applyNumberFormat="1" applyFont="1" applyBorder="1" applyAlignment="1">
      <alignment horizontal="center" vertical="center" wrapText="1" readingOrder="1"/>
    </xf>
    <xf numFmtId="168" fontId="28" fillId="0" borderId="79" xfId="1" applyNumberFormat="1" applyFont="1" applyBorder="1" applyAlignment="1">
      <alignment horizontal="center" vertical="center" wrapText="1"/>
    </xf>
    <xf numFmtId="168" fontId="121" fillId="0" borderId="1" xfId="1" applyNumberFormat="1" applyFont="1" applyFill="1" applyBorder="1" applyAlignment="1">
      <alignment horizontal="center" vertical="center" wrapText="1"/>
    </xf>
    <xf numFmtId="22" fontId="121" fillId="0" borderId="1" xfId="0" quotePrefix="1" applyNumberFormat="1" applyFont="1" applyFill="1" applyBorder="1" applyAlignment="1">
      <alignment horizontal="center" vertical="center" wrapText="1"/>
    </xf>
    <xf numFmtId="0" fontId="155" fillId="0" borderId="0" xfId="0" applyFont="1" applyAlignment="1">
      <alignment horizontal="center" vertical="center"/>
    </xf>
    <xf numFmtId="0" fontId="146" fillId="16" borderId="89" xfId="0" applyFont="1" applyFill="1" applyBorder="1" applyAlignment="1">
      <alignment horizontal="center" vertical="center" wrapText="1" readingOrder="1"/>
    </xf>
    <xf numFmtId="0" fontId="121" fillId="0" borderId="1" xfId="0" applyFont="1" applyBorder="1" applyAlignment="1">
      <alignment horizontal="center" vertical="center" wrapText="1" readingOrder="1"/>
    </xf>
    <xf numFmtId="0" fontId="121" fillId="0" borderId="1" xfId="0" applyFont="1" applyBorder="1" applyAlignment="1">
      <alignment vertical="top" wrapText="1"/>
    </xf>
    <xf numFmtId="168" fontId="127" fillId="0" borderId="1" xfId="1" applyNumberFormat="1" applyFont="1" applyBorder="1" applyAlignment="1">
      <alignment vertical="top" wrapText="1"/>
    </xf>
    <xf numFmtId="168" fontId="121" fillId="0" borderId="1" xfId="1" applyNumberFormat="1" applyFont="1" applyBorder="1" applyAlignment="1">
      <alignment horizontal="right" vertical="top" wrapText="1"/>
    </xf>
    <xf numFmtId="0" fontId="127" fillId="0" borderId="1" xfId="0" applyFont="1" applyBorder="1" applyAlignment="1">
      <alignment vertical="top" wrapText="1"/>
    </xf>
    <xf numFmtId="22" fontId="121" fillId="0" borderId="1" xfId="0" applyNumberFormat="1" applyFont="1" applyBorder="1" applyAlignment="1">
      <alignment vertical="top" wrapText="1"/>
    </xf>
    <xf numFmtId="168" fontId="121" fillId="0" borderId="1" xfId="1" applyNumberFormat="1" applyFont="1" applyBorder="1" applyAlignment="1">
      <alignment vertical="top" wrapText="1"/>
    </xf>
    <xf numFmtId="168" fontId="141" fillId="0" borderId="1" xfId="1" applyNumberFormat="1" applyFont="1" applyFill="1" applyBorder="1" applyAlignment="1">
      <alignment horizontal="center" vertical="center" wrapText="1" readingOrder="1"/>
    </xf>
    <xf numFmtId="0" fontId="137" fillId="0" borderId="1" xfId="0" applyFont="1" applyFill="1" applyBorder="1" applyAlignment="1">
      <alignment horizontal="center" vertical="center" wrapText="1"/>
    </xf>
    <xf numFmtId="168" fontId="121" fillId="0" borderId="97" xfId="1" applyNumberFormat="1" applyFont="1" applyFill="1" applyBorder="1" applyAlignment="1">
      <alignment horizontal="center" vertical="center" wrapText="1"/>
    </xf>
    <xf numFmtId="0" fontId="143" fillId="0" borderId="106" xfId="0" applyNumberFormat="1" applyFont="1" applyFill="1" applyBorder="1" applyAlignment="1">
      <alignment horizontal="center" vertical="center" wrapText="1" readingOrder="1"/>
    </xf>
    <xf numFmtId="0" fontId="143" fillId="0" borderId="85" xfId="0" applyNumberFormat="1" applyFont="1" applyFill="1" applyBorder="1" applyAlignment="1">
      <alignment horizontal="center" vertical="center" wrapText="1" readingOrder="1"/>
    </xf>
    <xf numFmtId="0" fontId="28" fillId="0" borderId="14" xfId="0" applyFont="1" applyFill="1" applyBorder="1" applyAlignment="1">
      <alignment horizontal="center" vertical="center" wrapText="1"/>
    </xf>
    <xf numFmtId="168" fontId="28" fillId="0" borderId="14" xfId="1" applyNumberFormat="1" applyFont="1" applyFill="1" applyBorder="1" applyAlignment="1">
      <alignment horizontal="center" vertical="center" wrapText="1"/>
    </xf>
    <xf numFmtId="168" fontId="28" fillId="0" borderId="41" xfId="1" applyNumberFormat="1" applyFont="1" applyFill="1" applyBorder="1" applyAlignment="1">
      <alignment horizontal="center" vertical="center" wrapText="1"/>
    </xf>
    <xf numFmtId="168" fontId="28" fillId="0" borderId="29" xfId="1" applyNumberFormat="1" applyFont="1" applyFill="1" applyBorder="1" applyAlignment="1">
      <alignment horizontal="center" vertical="center"/>
    </xf>
    <xf numFmtId="168" fontId="143" fillId="0" borderId="1" xfId="1" applyNumberFormat="1" applyFont="1" applyFill="1" applyBorder="1" applyAlignment="1">
      <alignment horizontal="center" vertical="center"/>
    </xf>
    <xf numFmtId="0" fontId="143" fillId="0" borderId="1" xfId="0" applyFont="1" applyFill="1" applyBorder="1" applyAlignment="1">
      <alignment horizontal="center" vertical="center"/>
    </xf>
    <xf numFmtId="0" fontId="145" fillId="0" borderId="0" xfId="0" applyFont="1" applyFill="1" applyBorder="1"/>
    <xf numFmtId="0" fontId="146" fillId="16" borderId="1" xfId="0" applyNumberFormat="1" applyFont="1" applyFill="1" applyBorder="1" applyAlignment="1">
      <alignment horizontal="center" vertical="center" wrapText="1" readingOrder="1"/>
    </xf>
    <xf numFmtId="0" fontId="148" fillId="0" borderId="0" xfId="0" applyFont="1" applyFill="1" applyBorder="1"/>
    <xf numFmtId="14" fontId="121" fillId="0" borderId="1" xfId="0" applyNumberFormat="1" applyFont="1" applyFill="1" applyBorder="1" applyAlignment="1">
      <alignment horizontal="center" vertical="center" wrapText="1" readingOrder="1"/>
    </xf>
    <xf numFmtId="0" fontId="147" fillId="0" borderId="1" xfId="0" applyFont="1" applyFill="1" applyBorder="1" applyAlignment="1">
      <alignment horizontal="center" vertical="center"/>
    </xf>
    <xf numFmtId="0" fontId="143" fillId="8" borderId="77" xfId="0" applyNumberFormat="1" applyFont="1" applyFill="1" applyBorder="1" applyAlignment="1">
      <alignment horizontal="center" vertical="center" wrapText="1" readingOrder="1"/>
    </xf>
    <xf numFmtId="168" fontId="143" fillId="8" borderId="77" xfId="1" applyNumberFormat="1" applyFont="1" applyFill="1" applyBorder="1" applyAlignment="1">
      <alignment horizontal="center" vertical="center" wrapText="1" readingOrder="1"/>
    </xf>
    <xf numFmtId="168" fontId="143" fillId="11" borderId="89" xfId="1" applyNumberFormat="1" applyFont="1" applyFill="1" applyBorder="1" applyAlignment="1">
      <alignment horizontal="center" vertical="center" wrapText="1" readingOrder="1"/>
    </xf>
    <xf numFmtId="168" fontId="28" fillId="0" borderId="1" xfId="1" applyNumberFormat="1" applyFont="1" applyFill="1" applyBorder="1" applyAlignment="1">
      <alignment horizontal="center" vertical="center"/>
    </xf>
    <xf numFmtId="14" fontId="28" fillId="0" borderId="1" xfId="0" applyNumberFormat="1" applyFont="1" applyFill="1" applyBorder="1" applyAlignment="1">
      <alignment horizontal="center" vertical="center"/>
    </xf>
    <xf numFmtId="43" fontId="28" fillId="0" borderId="1" xfId="0" applyNumberFormat="1" applyFont="1" applyFill="1" applyBorder="1" applyAlignment="1">
      <alignment horizontal="center" vertical="center"/>
    </xf>
    <xf numFmtId="167" fontId="28" fillId="0" borderId="1" xfId="1" applyNumberFormat="1" applyFont="1" applyFill="1" applyBorder="1" applyAlignment="1">
      <alignment horizontal="center" vertical="center"/>
    </xf>
    <xf numFmtId="0" fontId="157" fillId="0" borderId="0" xfId="0" applyFont="1" applyFill="1" applyBorder="1" applyAlignment="1">
      <alignment horizontal="center" vertical="center"/>
    </xf>
    <xf numFmtId="168" fontId="141" fillId="0" borderId="0" xfId="1" applyNumberFormat="1" applyFont="1" applyFill="1" applyBorder="1" applyAlignment="1">
      <alignment horizontal="center"/>
    </xf>
    <xf numFmtId="0" fontId="141" fillId="0" borderId="0" xfId="0" applyFont="1" applyFill="1" applyBorder="1" applyAlignment="1">
      <alignment horizontal="center"/>
    </xf>
    <xf numFmtId="0" fontId="161" fillId="0" borderId="0" xfId="0" applyNumberFormat="1" applyFont="1" applyFill="1" applyBorder="1" applyAlignment="1">
      <alignment horizontal="center" vertical="top" wrapText="1" readingOrder="1"/>
    </xf>
    <xf numFmtId="0" fontId="138" fillId="0" borderId="0" xfId="0" applyFont="1" applyFill="1" applyBorder="1" applyAlignment="1">
      <alignment horizontal="center"/>
    </xf>
    <xf numFmtId="168" fontId="146" fillId="16" borderId="1" xfId="1" applyNumberFormat="1" applyFont="1" applyFill="1" applyBorder="1" applyAlignment="1">
      <alignment horizontal="center" vertical="center" wrapText="1" readingOrder="1"/>
    </xf>
    <xf numFmtId="0" fontId="132" fillId="0" borderId="0" xfId="0" applyFont="1" applyFill="1" applyBorder="1"/>
    <xf numFmtId="0" fontId="28" fillId="0" borderId="77" xfId="0" applyFont="1" applyFill="1" applyBorder="1" applyAlignment="1">
      <alignment horizontal="center" vertical="center"/>
    </xf>
    <xf numFmtId="49" fontId="143" fillId="0" borderId="77" xfId="0" applyNumberFormat="1" applyFont="1" applyFill="1" applyBorder="1" applyAlignment="1">
      <alignment horizontal="center" vertical="center" wrapText="1" readingOrder="1"/>
    </xf>
    <xf numFmtId="0" fontId="142" fillId="16" borderId="89" xfId="0" applyNumberFormat="1" applyFont="1" applyFill="1" applyBorder="1" applyAlignment="1">
      <alignment horizontal="center" vertical="center" wrapText="1" readingOrder="1"/>
    </xf>
    <xf numFmtId="0" fontId="143" fillId="0" borderId="107" xfId="0" applyNumberFormat="1" applyFont="1" applyFill="1" applyBorder="1" applyAlignment="1">
      <alignment horizontal="center" vertical="center" wrapText="1" readingOrder="1"/>
    </xf>
    <xf numFmtId="0" fontId="143" fillId="0" borderId="108" xfId="0" applyNumberFormat="1" applyFont="1" applyFill="1" applyBorder="1" applyAlignment="1">
      <alignment horizontal="center" vertical="center" wrapText="1" readingOrder="1"/>
    </xf>
    <xf numFmtId="168" fontId="143" fillId="0" borderId="108" xfId="1" applyNumberFormat="1" applyFont="1" applyFill="1" applyBorder="1" applyAlignment="1">
      <alignment horizontal="center" vertical="center" wrapText="1" readingOrder="1"/>
    </xf>
    <xf numFmtId="0" fontId="143" fillId="0" borderId="111" xfId="0" applyNumberFormat="1" applyFont="1" applyFill="1" applyBorder="1" applyAlignment="1">
      <alignment horizontal="center" vertical="center" wrapText="1" readingOrder="1"/>
    </xf>
    <xf numFmtId="0" fontId="143" fillId="0" borderId="112" xfId="0" applyNumberFormat="1" applyFont="1" applyFill="1" applyBorder="1" applyAlignment="1">
      <alignment horizontal="center" vertical="center" wrapText="1" readingOrder="1"/>
    </xf>
    <xf numFmtId="0" fontId="143" fillId="0" borderId="113" xfId="0" applyNumberFormat="1" applyFont="1" applyFill="1" applyBorder="1" applyAlignment="1">
      <alignment horizontal="center" vertical="center" wrapText="1" readingOrder="1"/>
    </xf>
    <xf numFmtId="0" fontId="121" fillId="0" borderId="10" xfId="0" applyNumberFormat="1" applyFont="1" applyFill="1" applyBorder="1" applyAlignment="1">
      <alignment horizontal="center" vertical="center" wrapText="1" readingOrder="1"/>
    </xf>
    <xf numFmtId="168" fontId="121" fillId="0" borderId="10" xfId="1" applyNumberFormat="1" applyFont="1" applyFill="1" applyBorder="1" applyAlignment="1">
      <alignment horizontal="center" vertical="center" wrapText="1" readingOrder="1"/>
    </xf>
    <xf numFmtId="22" fontId="121" fillId="0" borderId="10" xfId="0" quotePrefix="1" applyNumberFormat="1" applyFont="1" applyFill="1" applyBorder="1" applyAlignment="1">
      <alignment horizontal="center" vertical="center" wrapText="1" readingOrder="1"/>
    </xf>
    <xf numFmtId="0" fontId="137" fillId="0" borderId="5" xfId="0" applyFont="1" applyFill="1" applyBorder="1" applyAlignment="1">
      <alignment horizontal="center" vertical="center"/>
    </xf>
    <xf numFmtId="0" fontId="137" fillId="0" borderId="70" xfId="0" applyFont="1" applyFill="1" applyBorder="1" applyAlignment="1">
      <alignment horizontal="center" vertical="center"/>
    </xf>
    <xf numFmtId="0" fontId="152" fillId="0" borderId="0" xfId="0" applyFont="1" applyFill="1" applyBorder="1" applyAlignment="1">
      <alignment horizontal="center" vertical="center"/>
    </xf>
    <xf numFmtId="0" fontId="142" fillId="16" borderId="77" xfId="0" applyNumberFormat="1" applyFont="1" applyFill="1" applyBorder="1" applyAlignment="1">
      <alignment horizontal="center" vertical="center" wrapText="1"/>
    </xf>
    <xf numFmtId="0" fontId="143" fillId="0" borderId="77" xfId="0" applyNumberFormat="1" applyFont="1" applyFill="1" applyBorder="1" applyAlignment="1">
      <alignment horizontal="center" vertical="center" wrapText="1"/>
    </xf>
    <xf numFmtId="168" fontId="143" fillId="0" borderId="77" xfId="1" applyNumberFormat="1" applyFont="1" applyFill="1" applyBorder="1" applyAlignment="1">
      <alignment horizontal="center" vertical="center" wrapText="1"/>
    </xf>
    <xf numFmtId="168" fontId="84" fillId="0" borderId="0" xfId="1" applyNumberFormat="1" applyFont="1" applyFill="1" applyBorder="1" applyAlignment="1">
      <alignment horizontal="center" vertical="center"/>
    </xf>
    <xf numFmtId="0" fontId="84" fillId="0" borderId="0" xfId="0" applyFont="1" applyFill="1" applyBorder="1" applyAlignment="1">
      <alignment horizontal="center" vertical="center"/>
    </xf>
    <xf numFmtId="0" fontId="90" fillId="0" borderId="0" xfId="0" applyNumberFormat="1" applyFont="1" applyFill="1" applyBorder="1" applyAlignment="1">
      <alignment horizontal="center" vertical="center" wrapText="1" readingOrder="1"/>
    </xf>
    <xf numFmtId="0" fontId="28" fillId="0" borderId="1" xfId="0" applyNumberFormat="1" applyFont="1" applyFill="1" applyBorder="1" applyAlignment="1">
      <alignment horizontal="center" vertical="center" wrapText="1" readingOrder="1"/>
    </xf>
    <xf numFmtId="168" fontId="28" fillId="0" borderId="1" xfId="1" applyNumberFormat="1" applyFont="1" applyFill="1" applyBorder="1" applyAlignment="1">
      <alignment horizontal="center" vertical="center" wrapText="1" readingOrder="1"/>
    </xf>
    <xf numFmtId="22" fontId="28" fillId="0" borderId="1" xfId="0" quotePrefix="1" applyNumberFormat="1" applyFont="1" applyFill="1" applyBorder="1" applyAlignment="1">
      <alignment horizontal="center" vertical="center" wrapText="1" readingOrder="1"/>
    </xf>
    <xf numFmtId="0" fontId="33" fillId="0" borderId="0" xfId="0" applyFont="1" applyFill="1" applyBorder="1" applyAlignment="1">
      <alignment horizontal="center" vertical="center"/>
    </xf>
    <xf numFmtId="0" fontId="107" fillId="2" borderId="0" xfId="0" applyFont="1" applyFill="1" applyBorder="1" applyAlignment="1">
      <alignment horizontal="left"/>
    </xf>
    <xf numFmtId="0" fontId="107" fillId="2" borderId="0" xfId="0" applyFont="1" applyFill="1" applyBorder="1" applyAlignment="1">
      <alignment horizontal="center"/>
    </xf>
    <xf numFmtId="0" fontId="108" fillId="0" borderId="0" xfId="0" applyFont="1" applyFill="1" applyBorder="1" applyAlignment="1">
      <alignment horizontal="left"/>
    </xf>
    <xf numFmtId="167" fontId="107" fillId="2" borderId="0" xfId="1" applyNumberFormat="1" applyFont="1" applyFill="1" applyBorder="1" applyAlignment="1">
      <alignment horizontal="center"/>
    </xf>
    <xf numFmtId="0" fontId="107" fillId="0" borderId="0" xfId="0" applyFont="1" applyFill="1" applyBorder="1" applyAlignment="1">
      <alignment horizontal="left"/>
    </xf>
    <xf numFmtId="0" fontId="107" fillId="18" borderId="1" xfId="0" applyFont="1" applyFill="1" applyBorder="1" applyAlignment="1">
      <alignment horizontal="center" vertical="center" wrapText="1"/>
    </xf>
    <xf numFmtId="49" fontId="107" fillId="18" borderId="1" xfId="0" applyNumberFormat="1" applyFont="1" applyFill="1" applyBorder="1" applyAlignment="1">
      <alignment horizontal="center" vertical="center" wrapText="1"/>
    </xf>
    <xf numFmtId="167" fontId="107" fillId="18" borderId="1" xfId="1" applyNumberFormat="1" applyFont="1" applyFill="1" applyBorder="1" applyAlignment="1">
      <alignment horizontal="center" vertical="center" wrapText="1"/>
    </xf>
    <xf numFmtId="3" fontId="107" fillId="0" borderId="1" xfId="0" applyNumberFormat="1" applyFont="1" applyBorder="1" applyAlignment="1">
      <alignment horizontal="center"/>
    </xf>
    <xf numFmtId="167" fontId="164" fillId="0" borderId="1" xfId="1" applyNumberFormat="1" applyFont="1" applyBorder="1" applyAlignment="1">
      <alignment horizontal="center"/>
    </xf>
    <xf numFmtId="0" fontId="107" fillId="18" borderId="1" xfId="0" quotePrefix="1" applyFont="1" applyFill="1" applyBorder="1" applyAlignment="1">
      <alignment horizontal="center"/>
    </xf>
    <xf numFmtId="0" fontId="107" fillId="18" borderId="1" xfId="0" applyFont="1" applyFill="1" applyBorder="1" applyAlignment="1">
      <alignment horizontal="center"/>
    </xf>
    <xf numFmtId="1" fontId="107" fillId="0" borderId="1" xfId="0" applyNumberFormat="1" applyFont="1" applyFill="1" applyBorder="1" applyAlignment="1">
      <alignment horizontal="center"/>
    </xf>
    <xf numFmtId="0" fontId="107" fillId="0" borderId="1" xfId="0" applyNumberFormat="1" applyFont="1" applyBorder="1" applyAlignment="1">
      <alignment horizontal="center"/>
    </xf>
    <xf numFmtId="0" fontId="107" fillId="0" borderId="1" xfId="0" quotePrefix="1" applyNumberFormat="1" applyFont="1" applyBorder="1" applyAlignment="1">
      <alignment horizontal="center"/>
    </xf>
    <xf numFmtId="49" fontId="107" fillId="0" borderId="1" xfId="0" applyNumberFormat="1" applyFont="1" applyBorder="1" applyAlignment="1">
      <alignment horizontal="center"/>
    </xf>
    <xf numFmtId="49" fontId="107" fillId="0" borderId="1" xfId="0" quotePrefix="1" applyNumberFormat="1" applyFont="1" applyBorder="1" applyAlignment="1">
      <alignment horizontal="center"/>
    </xf>
    <xf numFmtId="167" fontId="107" fillId="0" borderId="1" xfId="1" applyNumberFormat="1" applyFont="1" applyBorder="1" applyAlignment="1">
      <alignment horizontal="center"/>
    </xf>
    <xf numFmtId="0" fontId="107" fillId="0" borderId="1" xfId="0" applyFont="1" applyFill="1" applyBorder="1" applyAlignment="1">
      <alignment horizontal="center"/>
    </xf>
    <xf numFmtId="167" fontId="107" fillId="0" borderId="0" xfId="1" applyNumberFormat="1" applyFont="1"/>
    <xf numFmtId="0" fontId="107" fillId="18" borderId="1" xfId="0" applyFont="1" applyFill="1" applyBorder="1" applyAlignment="1">
      <alignment horizontal="center" wrapText="1"/>
    </xf>
    <xf numFmtId="49" fontId="107" fillId="0" borderId="1" xfId="0" applyNumberFormat="1" applyFont="1" applyFill="1" applyBorder="1" applyAlignment="1">
      <alignment horizontal="center"/>
    </xf>
    <xf numFmtId="0" fontId="107" fillId="0" borderId="1" xfId="0" applyFont="1" applyBorder="1" applyAlignment="1">
      <alignment horizontal="center"/>
    </xf>
    <xf numFmtId="0" fontId="163" fillId="0" borderId="0" xfId="0" applyFont="1"/>
    <xf numFmtId="0" fontId="163" fillId="0" borderId="0" xfId="0" applyNumberFormat="1" applyFont="1" applyFill="1" applyBorder="1" applyAlignment="1" applyProtection="1">
      <alignment wrapText="1"/>
      <protection locked="0"/>
    </xf>
    <xf numFmtId="0" fontId="163" fillId="0" borderId="0" xfId="0" applyNumberFormat="1" applyFont="1" applyFill="1" applyBorder="1" applyAlignment="1" applyProtection="1">
      <protection locked="0"/>
    </xf>
    <xf numFmtId="0" fontId="165" fillId="0" borderId="0" xfId="0" applyNumberFormat="1" applyFont="1" applyFill="1" applyBorder="1" applyAlignment="1" applyProtection="1">
      <alignment vertical="center" wrapText="1"/>
    </xf>
    <xf numFmtId="0" fontId="163" fillId="0" borderId="0" xfId="0" applyFont="1" applyAlignment="1">
      <alignment vertical="center"/>
    </xf>
    <xf numFmtId="0" fontId="165" fillId="0" borderId="0" xfId="0" applyNumberFormat="1" applyFont="1" applyFill="1" applyBorder="1" applyAlignment="1" applyProtection="1">
      <alignment horizontal="center" vertical="center"/>
      <protection locked="0"/>
    </xf>
    <xf numFmtId="0" fontId="165" fillId="0" borderId="0" xfId="0" applyNumberFormat="1" applyFont="1" applyFill="1" applyBorder="1" applyAlignment="1" applyProtection="1">
      <alignment horizontal="left" vertical="center" wrapText="1"/>
      <protection locked="0"/>
    </xf>
    <xf numFmtId="0" fontId="165" fillId="0" borderId="0" xfId="0" applyNumberFormat="1" applyFont="1" applyFill="1" applyBorder="1" applyAlignment="1" applyProtection="1">
      <alignment horizontal="center" vertical="center" wrapText="1"/>
    </xf>
    <xf numFmtId="0" fontId="165" fillId="0" borderId="0" xfId="0" applyNumberFormat="1" applyFont="1" applyFill="1" applyBorder="1" applyAlignment="1" applyProtection="1">
      <alignment horizontal="center" vertical="center" wrapText="1"/>
      <protection locked="0"/>
    </xf>
    <xf numFmtId="0" fontId="165" fillId="19" borderId="19" xfId="0" applyNumberFormat="1" applyFont="1" applyFill="1" applyBorder="1" applyAlignment="1" applyProtection="1">
      <alignment horizontal="center" vertical="center" wrapText="1"/>
    </xf>
    <xf numFmtId="0" fontId="165" fillId="19" borderId="20" xfId="0" applyNumberFormat="1" applyFont="1" applyFill="1" applyBorder="1" applyAlignment="1" applyProtection="1">
      <alignment horizontal="center" vertical="center" wrapText="1"/>
    </xf>
    <xf numFmtId="0" fontId="165" fillId="0" borderId="20" xfId="0" applyFont="1" applyBorder="1" applyAlignment="1">
      <alignment horizontal="center" vertical="center"/>
    </xf>
    <xf numFmtId="0" fontId="165" fillId="0" borderId="20" xfId="0" applyNumberFormat="1" applyFont="1" applyFill="1" applyBorder="1" applyAlignment="1" applyProtection="1">
      <alignment horizontal="center" vertical="center" wrapText="1"/>
    </xf>
    <xf numFmtId="0" fontId="165" fillId="19" borderId="61" xfId="0" applyNumberFormat="1" applyFont="1" applyFill="1" applyBorder="1" applyAlignment="1" applyProtection="1">
      <alignment horizontal="center" vertical="center" wrapText="1"/>
    </xf>
    <xf numFmtId="0" fontId="166" fillId="19" borderId="19" xfId="0" applyNumberFormat="1" applyFont="1" applyFill="1" applyBorder="1" applyAlignment="1" applyProtection="1">
      <alignment horizontal="center" vertical="center" wrapText="1"/>
    </xf>
    <xf numFmtId="0" fontId="166" fillId="19" borderId="20" xfId="0" applyNumberFormat="1" applyFont="1" applyFill="1" applyBorder="1" applyAlignment="1" applyProtection="1">
      <alignment horizontal="center" vertical="center" wrapText="1"/>
    </xf>
    <xf numFmtId="0" fontId="166" fillId="0" borderId="20" xfId="0" applyNumberFormat="1" applyFont="1" applyFill="1" applyBorder="1" applyAlignment="1" applyProtection="1">
      <alignment horizontal="center" vertical="center" wrapText="1"/>
    </xf>
    <xf numFmtId="167" fontId="166" fillId="19" borderId="61" xfId="0" applyNumberFormat="1" applyFont="1" applyFill="1" applyBorder="1" applyAlignment="1" applyProtection="1">
      <alignment horizontal="center" vertical="center" wrapText="1"/>
    </xf>
    <xf numFmtId="0" fontId="163" fillId="0" borderId="0" xfId="0" applyFont="1" applyFill="1"/>
    <xf numFmtId="0" fontId="163" fillId="0" borderId="40" xfId="0" applyNumberFormat="1" applyFont="1" applyFill="1" applyBorder="1" applyAlignment="1">
      <alignment horizontal="center" vertical="center"/>
    </xf>
    <xf numFmtId="0" fontId="163" fillId="0" borderId="10" xfId="0" applyNumberFormat="1" applyFont="1" applyFill="1" applyBorder="1" applyAlignment="1">
      <alignment horizontal="center" vertical="center"/>
    </xf>
    <xf numFmtId="167" fontId="163" fillId="0" borderId="10" xfId="1" applyNumberFormat="1" applyFont="1" applyFill="1" applyBorder="1" applyAlignment="1">
      <alignment horizontal="center" vertical="center"/>
    </xf>
    <xf numFmtId="49" fontId="163" fillId="0" borderId="10" xfId="0" applyNumberFormat="1" applyFont="1" applyFill="1" applyBorder="1" applyAlignment="1" applyProtection="1">
      <alignment horizontal="center" vertical="center" wrapText="1"/>
    </xf>
    <xf numFmtId="0" fontId="163" fillId="0" borderId="10" xfId="0" applyNumberFormat="1" applyFont="1" applyFill="1" applyBorder="1" applyAlignment="1">
      <alignment horizontal="center"/>
    </xf>
    <xf numFmtId="1" fontId="163" fillId="8" borderId="10" xfId="2" applyNumberFormat="1" applyFont="1" applyFill="1" applyBorder="1" applyAlignment="1">
      <alignment horizontal="center"/>
    </xf>
    <xf numFmtId="49" fontId="163" fillId="0" borderId="10" xfId="0" applyNumberFormat="1" applyFont="1" applyFill="1" applyBorder="1" applyAlignment="1">
      <alignment horizontal="center"/>
    </xf>
    <xf numFmtId="167" fontId="163" fillId="0" borderId="73" xfId="1" applyNumberFormat="1" applyFont="1" applyFill="1" applyBorder="1"/>
    <xf numFmtId="3" fontId="167" fillId="20" borderId="10" xfId="0" applyNumberFormat="1" applyFont="1" applyFill="1" applyBorder="1"/>
    <xf numFmtId="3" fontId="163" fillId="0" borderId="0" xfId="0" applyNumberFormat="1" applyFont="1" applyFill="1"/>
    <xf numFmtId="0" fontId="163" fillId="0" borderId="31" xfId="0" applyNumberFormat="1" applyFont="1" applyFill="1" applyBorder="1" applyAlignment="1">
      <alignment horizontal="center" vertical="center"/>
    </xf>
    <xf numFmtId="0" fontId="163" fillId="0" borderId="1" xfId="0" applyNumberFormat="1" applyFont="1" applyFill="1" applyBorder="1" applyAlignment="1">
      <alignment horizontal="center" vertical="center"/>
    </xf>
    <xf numFmtId="167" fontId="163" fillId="0" borderId="1" xfId="1" applyNumberFormat="1" applyFont="1" applyFill="1" applyBorder="1" applyAlignment="1">
      <alignment horizontal="center" vertical="center"/>
    </xf>
    <xf numFmtId="49" fontId="163" fillId="0" borderId="1" xfId="0" applyNumberFormat="1" applyFont="1" applyFill="1" applyBorder="1" applyAlignment="1" applyProtection="1">
      <alignment horizontal="center" vertical="center" wrapText="1"/>
    </xf>
    <xf numFmtId="0" fontId="163" fillId="0" borderId="1" xfId="0" applyNumberFormat="1" applyFont="1" applyFill="1" applyBorder="1" applyAlignment="1">
      <alignment horizontal="center"/>
    </xf>
    <xf numFmtId="1" fontId="163" fillId="8" borderId="1" xfId="2" applyNumberFormat="1" applyFont="1" applyFill="1" applyBorder="1" applyAlignment="1">
      <alignment horizontal="center"/>
    </xf>
    <xf numFmtId="49" fontId="163" fillId="0" borderId="1" xfId="0" applyNumberFormat="1" applyFont="1" applyFill="1" applyBorder="1" applyAlignment="1">
      <alignment horizontal="center"/>
    </xf>
    <xf numFmtId="167" fontId="163" fillId="0" borderId="2" xfId="1" applyNumberFormat="1" applyFont="1" applyFill="1" applyBorder="1"/>
    <xf numFmtId="3" fontId="167" fillId="20" borderId="1" xfId="0" applyNumberFormat="1" applyFont="1" applyFill="1" applyBorder="1"/>
    <xf numFmtId="0" fontId="163" fillId="0" borderId="1" xfId="1" applyNumberFormat="1" applyFont="1" applyFill="1" applyBorder="1" applyAlignment="1">
      <alignment horizontal="center" vertical="center"/>
    </xf>
    <xf numFmtId="3" fontId="168" fillId="20" borderId="1" xfId="0" applyNumberFormat="1" applyFont="1" applyFill="1" applyBorder="1" applyAlignment="1">
      <alignment wrapText="1"/>
    </xf>
    <xf numFmtId="0" fontId="163" fillId="0" borderId="32" xfId="0" applyNumberFormat="1" applyFont="1" applyFill="1" applyBorder="1" applyAlignment="1">
      <alignment horizontal="center" vertical="center"/>
    </xf>
    <xf numFmtId="0" fontId="163" fillId="0" borderId="3" xfId="0" applyNumberFormat="1" applyFont="1" applyFill="1" applyBorder="1" applyAlignment="1">
      <alignment horizontal="center" vertical="center"/>
    </xf>
    <xf numFmtId="167" fontId="163" fillId="0" borderId="3" xfId="1" applyNumberFormat="1" applyFont="1" applyFill="1" applyBorder="1" applyAlignment="1">
      <alignment horizontal="center" vertical="center"/>
    </xf>
    <xf numFmtId="49" fontId="163" fillId="0" borderId="3" xfId="0" applyNumberFormat="1" applyFont="1" applyFill="1" applyBorder="1" applyAlignment="1" applyProtection="1">
      <alignment horizontal="center" vertical="center" wrapText="1"/>
    </xf>
    <xf numFmtId="0" fontId="163" fillId="0" borderId="3" xfId="0" applyNumberFormat="1" applyFont="1" applyFill="1" applyBorder="1" applyAlignment="1">
      <alignment horizontal="center"/>
    </xf>
    <xf numFmtId="1" fontId="163" fillId="8" borderId="8" xfId="2" applyNumberFormat="1" applyFont="1" applyFill="1" applyBorder="1" applyAlignment="1">
      <alignment horizontal="center"/>
    </xf>
    <xf numFmtId="49" fontId="163" fillId="0" borderId="3" xfId="0" applyNumberFormat="1" applyFont="1" applyFill="1" applyBorder="1" applyAlignment="1">
      <alignment horizontal="center"/>
    </xf>
    <xf numFmtId="167" fontId="163" fillId="0" borderId="4" xfId="1" applyNumberFormat="1" applyFont="1" applyFill="1" applyBorder="1"/>
    <xf numFmtId="3" fontId="167" fillId="20" borderId="3" xfId="0" applyNumberFormat="1" applyFont="1" applyFill="1" applyBorder="1"/>
    <xf numFmtId="0" fontId="163" fillId="0" borderId="36" xfId="0" applyNumberFormat="1" applyFont="1" applyFill="1" applyBorder="1" applyAlignment="1">
      <alignment horizontal="center" vertical="center"/>
    </xf>
    <xf numFmtId="0" fontId="163" fillId="0" borderId="37" xfId="0" applyNumberFormat="1" applyFont="1" applyFill="1" applyBorder="1" applyAlignment="1">
      <alignment horizontal="center" vertical="center"/>
    </xf>
    <xf numFmtId="167" fontId="163" fillId="0" borderId="37" xfId="1" applyNumberFormat="1" applyFont="1" applyFill="1" applyBorder="1" applyAlignment="1">
      <alignment horizontal="center" vertical="center"/>
    </xf>
    <xf numFmtId="49" fontId="163" fillId="0" borderId="37" xfId="0" applyNumberFormat="1" applyFont="1" applyFill="1" applyBorder="1" applyAlignment="1" applyProtection="1">
      <alignment horizontal="center" vertical="center" wrapText="1"/>
    </xf>
    <xf numFmtId="0" fontId="163" fillId="0" borderId="37" xfId="0" applyNumberFormat="1" applyFont="1" applyFill="1" applyBorder="1" applyAlignment="1">
      <alignment horizontal="center"/>
    </xf>
    <xf numFmtId="49" fontId="163" fillId="0" borderId="37" xfId="0" applyNumberFormat="1" applyFont="1" applyFill="1" applyBorder="1" applyAlignment="1">
      <alignment horizontal="center"/>
    </xf>
    <xf numFmtId="167" fontId="163" fillId="0" borderId="39" xfId="1" applyNumberFormat="1" applyFont="1" applyFill="1" applyBorder="1"/>
    <xf numFmtId="3" fontId="167" fillId="21" borderId="10" xfId="0" applyNumberFormat="1" applyFont="1" applyFill="1" applyBorder="1"/>
    <xf numFmtId="3" fontId="167" fillId="21" borderId="1" xfId="0" applyNumberFormat="1" applyFont="1" applyFill="1" applyBorder="1"/>
    <xf numFmtId="3" fontId="168" fillId="21" borderId="1" xfId="0" applyNumberFormat="1" applyFont="1" applyFill="1" applyBorder="1" applyAlignment="1">
      <alignment wrapText="1"/>
    </xf>
    <xf numFmtId="3" fontId="167" fillId="21" borderId="3" xfId="0" applyNumberFormat="1" applyFont="1" applyFill="1" applyBorder="1"/>
    <xf numFmtId="0" fontId="166" fillId="0" borderId="19" xfId="0" quotePrefix="1" applyFont="1" applyFill="1" applyBorder="1" applyAlignment="1">
      <alignment horizontal="center" vertical="center"/>
    </xf>
    <xf numFmtId="0" fontId="166" fillId="0" borderId="20" xfId="0" applyFont="1" applyFill="1" applyBorder="1" applyAlignment="1">
      <alignment horizontal="center" vertical="center"/>
    </xf>
    <xf numFmtId="49" fontId="166" fillId="0" borderId="20" xfId="0" applyNumberFormat="1" applyFont="1" applyFill="1" applyBorder="1" applyAlignment="1" applyProtection="1">
      <alignment horizontal="center" vertical="center" wrapText="1"/>
    </xf>
    <xf numFmtId="49" fontId="166" fillId="0" borderId="20" xfId="0" applyNumberFormat="1" applyFont="1" applyFill="1" applyBorder="1" applyAlignment="1">
      <alignment horizontal="center" vertical="center"/>
    </xf>
    <xf numFmtId="167" fontId="166" fillId="0" borderId="61" xfId="1" applyNumberFormat="1" applyFont="1" applyFill="1" applyBorder="1" applyAlignment="1" applyProtection="1">
      <alignment horizontal="right" vertical="center"/>
    </xf>
    <xf numFmtId="0" fontId="163" fillId="0" borderId="40" xfId="0" quotePrefix="1" applyFont="1" applyFill="1" applyBorder="1" applyAlignment="1">
      <alignment horizontal="center"/>
    </xf>
    <xf numFmtId="0" fontId="163" fillId="0" borderId="10" xfId="0" applyFont="1" applyFill="1" applyBorder="1" applyAlignment="1">
      <alignment horizontal="center"/>
    </xf>
    <xf numFmtId="1" fontId="163" fillId="0" borderId="10" xfId="0" applyNumberFormat="1" applyFont="1" applyFill="1" applyBorder="1" applyAlignment="1">
      <alignment horizontal="center"/>
    </xf>
    <xf numFmtId="0" fontId="163" fillId="0" borderId="10" xfId="0" applyFont="1" applyFill="1" applyBorder="1" applyAlignment="1">
      <alignment horizontal="left"/>
    </xf>
    <xf numFmtId="0" fontId="163" fillId="0" borderId="10" xfId="0" applyNumberFormat="1" applyFont="1" applyFill="1" applyBorder="1" applyAlignment="1" applyProtection="1">
      <alignment horizontal="center" vertical="center" wrapText="1"/>
    </xf>
    <xf numFmtId="167" fontId="163" fillId="0" borderId="73" xfId="1" applyNumberFormat="1" applyFont="1" applyFill="1" applyBorder="1" applyAlignment="1">
      <alignment horizontal="center"/>
    </xf>
    <xf numFmtId="0" fontId="163" fillId="0" borderId="32" xfId="0" quotePrefix="1" applyFont="1" applyFill="1" applyBorder="1" applyAlignment="1">
      <alignment horizontal="center"/>
    </xf>
    <xf numFmtId="0" fontId="163" fillId="0" borderId="3" xfId="0" applyFont="1" applyFill="1" applyBorder="1" applyAlignment="1">
      <alignment horizontal="center"/>
    </xf>
    <xf numFmtId="1" fontId="163" fillId="0" borderId="3" xfId="0" applyNumberFormat="1" applyFont="1" applyFill="1" applyBorder="1" applyAlignment="1">
      <alignment horizontal="center"/>
    </xf>
    <xf numFmtId="0" fontId="163" fillId="0" borderId="3" xfId="0" applyFont="1" applyFill="1" applyBorder="1" applyAlignment="1">
      <alignment horizontal="left"/>
    </xf>
    <xf numFmtId="0" fontId="163" fillId="0" borderId="3" xfId="0" applyNumberFormat="1" applyFont="1" applyFill="1" applyBorder="1" applyAlignment="1" applyProtection="1">
      <alignment horizontal="center" vertical="center" wrapText="1"/>
    </xf>
    <xf numFmtId="167" fontId="163" fillId="0" borderId="4" xfId="1" applyNumberFormat="1" applyFont="1" applyFill="1" applyBorder="1" applyAlignment="1">
      <alignment horizontal="center"/>
    </xf>
    <xf numFmtId="0" fontId="163" fillId="0" borderId="0" xfId="0" quotePrefix="1" applyFont="1" applyFill="1" applyBorder="1" applyAlignment="1">
      <alignment horizontal="center"/>
    </xf>
    <xf numFmtId="0" fontId="163" fillId="0" borderId="0" xfId="0" applyFont="1" applyFill="1" applyBorder="1" applyAlignment="1">
      <alignment horizontal="center"/>
    </xf>
    <xf numFmtId="1" fontId="163" fillId="0" borderId="0" xfId="0" applyNumberFormat="1" applyFont="1" applyFill="1" applyBorder="1" applyAlignment="1">
      <alignment horizontal="center"/>
    </xf>
    <xf numFmtId="0" fontId="163" fillId="0" borderId="0" xfId="0" applyFont="1" applyFill="1" applyBorder="1" applyAlignment="1">
      <alignment horizontal="left"/>
    </xf>
    <xf numFmtId="0" fontId="163" fillId="0" borderId="0" xfId="0" applyNumberFormat="1" applyFont="1" applyFill="1" applyBorder="1" applyAlignment="1" applyProtection="1">
      <alignment horizontal="center" vertical="center" wrapText="1"/>
    </xf>
    <xf numFmtId="0" fontId="163" fillId="0" borderId="0" xfId="0" applyNumberFormat="1" applyFont="1" applyFill="1" applyBorder="1" applyAlignment="1">
      <alignment horizontal="center"/>
    </xf>
    <xf numFmtId="49" fontId="163" fillId="0" borderId="0" xfId="0" applyNumberFormat="1" applyFont="1" applyFill="1" applyBorder="1" applyAlignment="1">
      <alignment horizontal="center"/>
    </xf>
    <xf numFmtId="167" fontId="163" fillId="0" borderId="0" xfId="1" applyNumberFormat="1" applyFont="1" applyFill="1" applyBorder="1" applyAlignment="1">
      <alignment horizontal="center"/>
    </xf>
    <xf numFmtId="0" fontId="165" fillId="0" borderId="0" xfId="0" applyFont="1" applyAlignment="1">
      <alignment horizontal="center"/>
    </xf>
    <xf numFmtId="0" fontId="166" fillId="0" borderId="0" xfId="0" applyFont="1" applyFill="1" applyBorder="1" applyAlignment="1">
      <alignment horizontal="center"/>
    </xf>
    <xf numFmtId="0" fontId="163" fillId="0" borderId="0" xfId="0" quotePrefix="1" applyNumberFormat="1" applyFont="1" applyFill="1" applyBorder="1" applyAlignment="1">
      <alignment horizontal="center"/>
    </xf>
    <xf numFmtId="0" fontId="163" fillId="0" borderId="19" xfId="0" applyFont="1" applyFill="1" applyBorder="1" applyAlignment="1">
      <alignment horizontal="center"/>
    </xf>
    <xf numFmtId="0" fontId="163" fillId="0" borderId="19" xfId="0" applyFont="1" applyBorder="1"/>
    <xf numFmtId="14" fontId="163" fillId="8" borderId="40" xfId="2" applyNumberFormat="1" applyFont="1" applyFill="1" applyBorder="1" applyAlignment="1">
      <alignment horizontal="center"/>
    </xf>
    <xf numFmtId="49" fontId="163" fillId="8" borderId="10" xfId="2" applyNumberFormat="1" applyFont="1" applyFill="1" applyBorder="1" applyAlignment="1">
      <alignment horizontal="center"/>
    </xf>
    <xf numFmtId="0" fontId="163" fillId="8" borderId="10" xfId="2" applyNumberFormat="1" applyFont="1" applyFill="1" applyBorder="1" applyAlignment="1">
      <alignment horizontal="center"/>
    </xf>
    <xf numFmtId="0" fontId="163" fillId="0" borderId="10" xfId="0" applyFont="1" applyBorder="1"/>
    <xf numFmtId="14" fontId="163" fillId="8" borderId="31" xfId="2" applyNumberFormat="1" applyFont="1" applyFill="1" applyBorder="1" applyAlignment="1">
      <alignment horizontal="center"/>
    </xf>
    <xf numFmtId="49" fontId="163" fillId="8" borderId="1" xfId="2" applyNumberFormat="1" applyFont="1" applyFill="1" applyBorder="1" applyAlignment="1">
      <alignment horizontal="center"/>
    </xf>
    <xf numFmtId="0" fontId="163" fillId="8" borderId="1" xfId="2" applyNumberFormat="1" applyFont="1" applyFill="1" applyBorder="1" applyAlignment="1">
      <alignment horizontal="center"/>
    </xf>
    <xf numFmtId="0" fontId="163" fillId="0" borderId="1" xfId="0" applyFont="1" applyBorder="1"/>
    <xf numFmtId="14" fontId="163" fillId="8" borderId="42" xfId="2" applyNumberFormat="1" applyFont="1" applyFill="1" applyBorder="1" applyAlignment="1">
      <alignment horizontal="center"/>
    </xf>
    <xf numFmtId="1" fontId="163" fillId="8" borderId="8" xfId="3" applyNumberFormat="1" applyFont="1" applyFill="1" applyBorder="1" applyAlignment="1">
      <alignment horizontal="center"/>
    </xf>
    <xf numFmtId="167" fontId="163" fillId="0" borderId="8" xfId="1" applyNumberFormat="1" applyFont="1" applyFill="1" applyBorder="1" applyAlignment="1">
      <alignment horizontal="center" vertical="center"/>
    </xf>
    <xf numFmtId="49" fontId="163" fillId="8" borderId="8" xfId="2" applyNumberFormat="1" applyFont="1" applyFill="1" applyBorder="1" applyAlignment="1">
      <alignment horizontal="center"/>
    </xf>
    <xf numFmtId="0" fontId="163" fillId="8" borderId="8" xfId="2" applyNumberFormat="1" applyFont="1" applyFill="1" applyBorder="1" applyAlignment="1">
      <alignment horizontal="center"/>
    </xf>
    <xf numFmtId="0" fontId="163" fillId="0" borderId="8" xfId="0" applyFont="1" applyBorder="1"/>
    <xf numFmtId="167" fontId="163" fillId="0" borderId="74" xfId="1" applyNumberFormat="1" applyFont="1" applyFill="1" applyBorder="1"/>
    <xf numFmtId="0" fontId="166" fillId="0" borderId="20" xfId="0" quotePrefix="1" applyFont="1" applyFill="1" applyBorder="1" applyAlignment="1">
      <alignment horizontal="center" vertical="center"/>
    </xf>
    <xf numFmtId="0" fontId="163" fillId="0" borderId="48" xfId="0" applyFont="1" applyBorder="1"/>
    <xf numFmtId="0" fontId="163" fillId="0" borderId="49" xfId="0" quotePrefix="1" applyFont="1" applyFill="1" applyBorder="1" applyAlignment="1">
      <alignment horizontal="center"/>
    </xf>
    <xf numFmtId="0" fontId="163" fillId="0" borderId="49" xfId="0" applyFont="1" applyFill="1" applyBorder="1" applyAlignment="1">
      <alignment horizontal="center"/>
    </xf>
    <xf numFmtId="1" fontId="163" fillId="0" borderId="49" xfId="0" applyNumberFormat="1" applyFont="1" applyFill="1" applyBorder="1" applyAlignment="1">
      <alignment horizontal="center"/>
    </xf>
    <xf numFmtId="0" fontId="163" fillId="0" borderId="49" xfId="0" applyFont="1" applyFill="1" applyBorder="1" applyAlignment="1">
      <alignment horizontal="left"/>
    </xf>
    <xf numFmtId="0" fontId="163" fillId="0" borderId="49" xfId="0" applyNumberFormat="1" applyFont="1" applyFill="1" applyBorder="1" applyAlignment="1" applyProtection="1">
      <alignment horizontal="center" vertical="center" wrapText="1"/>
    </xf>
    <xf numFmtId="0" fontId="163" fillId="0" borderId="49" xfId="0" applyNumberFormat="1" applyFont="1" applyFill="1" applyBorder="1" applyAlignment="1">
      <alignment horizontal="center"/>
    </xf>
    <xf numFmtId="49" fontId="163" fillId="0" borderId="49" xfId="0" applyNumberFormat="1" applyFont="1" applyFill="1" applyBorder="1" applyAlignment="1">
      <alignment horizontal="center"/>
    </xf>
    <xf numFmtId="167" fontId="163" fillId="0" borderId="62" xfId="1" applyNumberFormat="1" applyFont="1" applyFill="1" applyBorder="1" applyAlignment="1">
      <alignment horizontal="center"/>
    </xf>
    <xf numFmtId="0" fontId="163" fillId="2" borderId="0" xfId="0" applyFont="1" applyFill="1" applyBorder="1" applyAlignment="1">
      <alignment horizontal="left"/>
    </xf>
    <xf numFmtId="0" fontId="163" fillId="2" borderId="0" xfId="0" applyFont="1" applyFill="1" applyBorder="1" applyAlignment="1">
      <alignment horizontal="center"/>
    </xf>
    <xf numFmtId="49" fontId="163" fillId="2" borderId="0" xfId="0" applyNumberFormat="1" applyFont="1" applyFill="1" applyBorder="1" applyAlignment="1">
      <alignment horizontal="center"/>
    </xf>
    <xf numFmtId="0" fontId="169" fillId="2" borderId="0" xfId="0" applyFont="1" applyFill="1" applyBorder="1"/>
    <xf numFmtId="49" fontId="163" fillId="2" borderId="0" xfId="0" applyNumberFormat="1" applyFont="1" applyFill="1" applyBorder="1" applyAlignment="1">
      <alignment horizontal="left"/>
    </xf>
    <xf numFmtId="0" fontId="165" fillId="18" borderId="21" xfId="0" applyFont="1" applyFill="1" applyBorder="1" applyAlignment="1">
      <alignment horizontal="center" vertical="center" wrapText="1"/>
    </xf>
    <xf numFmtId="0" fontId="165" fillId="18" borderId="11" xfId="0" applyFont="1" applyFill="1" applyBorder="1" applyAlignment="1">
      <alignment horizontal="center" vertical="center" wrapText="1"/>
    </xf>
    <xf numFmtId="0" fontId="165" fillId="18" borderId="22" xfId="0" applyFont="1" applyFill="1" applyBorder="1" applyAlignment="1">
      <alignment horizontal="center" vertical="center" wrapText="1"/>
    </xf>
    <xf numFmtId="49" fontId="165" fillId="18" borderId="11" xfId="0" applyNumberFormat="1" applyFont="1" applyFill="1" applyBorder="1" applyAlignment="1">
      <alignment horizontal="center" vertical="center" wrapText="1"/>
    </xf>
    <xf numFmtId="49" fontId="170" fillId="19" borderId="22" xfId="0" applyNumberFormat="1" applyFont="1" applyFill="1" applyBorder="1" applyAlignment="1" applyProtection="1">
      <alignment horizontal="center" vertical="center" wrapText="1"/>
    </xf>
    <xf numFmtId="0" fontId="170" fillId="19" borderId="11" xfId="0" applyNumberFormat="1" applyFont="1" applyFill="1" applyBorder="1" applyAlignment="1" applyProtection="1">
      <alignment horizontal="center" vertical="center" wrapText="1"/>
    </xf>
    <xf numFmtId="0" fontId="170" fillId="19" borderId="22" xfId="0" applyNumberFormat="1" applyFont="1" applyFill="1" applyBorder="1" applyAlignment="1" applyProtection="1">
      <alignment horizontal="center" vertical="center" wrapText="1"/>
    </xf>
    <xf numFmtId="0" fontId="171" fillId="0" borderId="0" xfId="0" applyFont="1" applyAlignment="1"/>
    <xf numFmtId="3" fontId="163" fillId="18" borderId="19" xfId="0" applyNumberFormat="1" applyFont="1" applyFill="1" applyBorder="1" applyAlignment="1">
      <alignment horizontal="center" vertical="center" wrapText="1"/>
    </xf>
    <xf numFmtId="3" fontId="163" fillId="18" borderId="20" xfId="0" applyNumberFormat="1" applyFont="1" applyFill="1" applyBorder="1" applyAlignment="1">
      <alignment horizontal="center" vertical="center" wrapText="1"/>
    </xf>
    <xf numFmtId="49" fontId="163" fillId="18" borderId="20" xfId="0" applyNumberFormat="1" applyFont="1" applyFill="1" applyBorder="1" applyAlignment="1">
      <alignment horizontal="center" vertical="center" wrapText="1"/>
    </xf>
    <xf numFmtId="0" fontId="169" fillId="18" borderId="20" xfId="0" applyFont="1" applyFill="1" applyBorder="1" applyAlignment="1">
      <alignment horizontal="center" vertical="center" wrapText="1"/>
    </xf>
    <xf numFmtId="49" fontId="169" fillId="18" borderId="20" xfId="0" quotePrefix="1" applyNumberFormat="1" applyFont="1" applyFill="1" applyBorder="1" applyAlignment="1">
      <alignment horizontal="center" vertical="center" wrapText="1"/>
    </xf>
    <xf numFmtId="3" fontId="166" fillId="18" borderId="20" xfId="0" applyNumberFormat="1" applyFont="1" applyFill="1" applyBorder="1" applyAlignment="1">
      <alignment horizontal="center" vertical="center" wrapText="1"/>
    </xf>
    <xf numFmtId="3" fontId="166" fillId="0" borderId="20" xfId="0" applyNumberFormat="1" applyFont="1" applyBorder="1" applyAlignment="1">
      <alignment horizontal="center" vertical="center" wrapText="1"/>
    </xf>
    <xf numFmtId="3" fontId="163" fillId="0" borderId="61" xfId="0" applyNumberFormat="1" applyFont="1" applyBorder="1" applyAlignment="1">
      <alignment horizontal="center" vertical="center" wrapText="1"/>
    </xf>
    <xf numFmtId="3" fontId="169" fillId="0" borderId="0" xfId="0" applyNumberFormat="1" applyFont="1" applyAlignment="1">
      <alignment horizontal="center" vertical="center" wrapText="1"/>
    </xf>
    <xf numFmtId="49" fontId="163" fillId="0" borderId="40" xfId="0" applyNumberFormat="1" applyFont="1" applyBorder="1" applyAlignment="1">
      <alignment horizontal="center"/>
    </xf>
    <xf numFmtId="0" fontId="163" fillId="18" borderId="10" xfId="0" applyFont="1" applyFill="1" applyBorder="1" applyAlignment="1">
      <alignment horizontal="center"/>
    </xf>
    <xf numFmtId="49" fontId="163" fillId="0" borderId="10" xfId="0" applyNumberFormat="1" applyFont="1" applyBorder="1" applyAlignment="1">
      <alignment horizontal="center"/>
    </xf>
    <xf numFmtId="0" fontId="163" fillId="0" borderId="10" xfId="0" applyNumberFormat="1" applyFont="1" applyBorder="1" applyAlignment="1">
      <alignment horizontal="center"/>
    </xf>
    <xf numFmtId="49" fontId="169" fillId="0" borderId="10" xfId="0" applyNumberFormat="1" applyFont="1" applyFill="1" applyBorder="1" applyAlignment="1">
      <alignment horizontal="center" vertical="center"/>
    </xf>
    <xf numFmtId="0" fontId="172" fillId="0" borderId="10" xfId="0" applyNumberFormat="1" applyFont="1" applyFill="1" applyBorder="1" applyAlignment="1" applyProtection="1">
      <alignment horizontal="center" vertical="center" wrapText="1"/>
    </xf>
    <xf numFmtId="167" fontId="163" fillId="0" borderId="10" xfId="1" applyNumberFormat="1" applyFont="1" applyBorder="1"/>
    <xf numFmtId="49" fontId="163" fillId="0" borderId="73" xfId="0" applyNumberFormat="1" applyFont="1" applyBorder="1" applyAlignment="1">
      <alignment horizontal="center"/>
    </xf>
    <xf numFmtId="0" fontId="169" fillId="0" borderId="0" xfId="0" applyFont="1"/>
    <xf numFmtId="49" fontId="163" fillId="0" borderId="31" xfId="0" applyNumberFormat="1" applyFont="1" applyFill="1" applyBorder="1" applyAlignment="1">
      <alignment horizontal="center"/>
    </xf>
    <xf numFmtId="0" fontId="163" fillId="18" borderId="1" xfId="0" applyFont="1" applyFill="1" applyBorder="1" applyAlignment="1">
      <alignment horizontal="center"/>
    </xf>
    <xf numFmtId="49" fontId="163" fillId="0" borderId="1" xfId="0" applyNumberFormat="1" applyFont="1" applyBorder="1" applyAlignment="1">
      <alignment horizontal="center"/>
    </xf>
    <xf numFmtId="0" fontId="163" fillId="0" borderId="1" xfId="0" applyNumberFormat="1" applyFont="1" applyBorder="1" applyAlignment="1">
      <alignment horizontal="center"/>
    </xf>
    <xf numFmtId="49" fontId="169" fillId="0" borderId="1" xfId="0" applyNumberFormat="1" applyFont="1" applyFill="1" applyBorder="1" applyAlignment="1">
      <alignment horizontal="center" vertical="center"/>
    </xf>
    <xf numFmtId="0" fontId="172" fillId="0" borderId="1" xfId="0" applyNumberFormat="1" applyFont="1" applyFill="1" applyBorder="1" applyAlignment="1" applyProtection="1">
      <alignment horizontal="center" vertical="center" wrapText="1"/>
    </xf>
    <xf numFmtId="167" fontId="163" fillId="0" borderId="1" xfId="1" applyNumberFormat="1" applyFont="1" applyBorder="1"/>
    <xf numFmtId="49" fontId="163" fillId="0" borderId="2" xfId="0" applyNumberFormat="1" applyFont="1" applyBorder="1" applyAlignment="1">
      <alignment horizontal="center"/>
    </xf>
    <xf numFmtId="49" fontId="163" fillId="0" borderId="31" xfId="0" applyNumberFormat="1" applyFont="1" applyBorder="1" applyAlignment="1">
      <alignment horizontal="center"/>
    </xf>
    <xf numFmtId="49" fontId="163" fillId="0" borderId="1" xfId="0" quotePrefix="1" applyNumberFormat="1" applyFont="1" applyBorder="1" applyAlignment="1">
      <alignment horizontal="center"/>
    </xf>
    <xf numFmtId="49" fontId="163" fillId="0" borderId="2" xfId="0" applyNumberFormat="1" applyFont="1" applyFill="1" applyBorder="1" applyAlignment="1">
      <alignment horizontal="center"/>
    </xf>
    <xf numFmtId="49" fontId="163" fillId="0" borderId="42" xfId="0" applyNumberFormat="1" applyFont="1" applyBorder="1" applyAlignment="1">
      <alignment horizontal="center"/>
    </xf>
    <xf numFmtId="0" fontId="163" fillId="0" borderId="8" xfId="0" applyFont="1" applyBorder="1" applyAlignment="1">
      <alignment horizontal="center"/>
    </xf>
    <xf numFmtId="49" fontId="163" fillId="0" borderId="8" xfId="0" applyNumberFormat="1" applyFont="1" applyBorder="1" applyAlignment="1">
      <alignment horizontal="center"/>
    </xf>
    <xf numFmtId="0" fontId="163" fillId="0" borderId="8" xfId="0" applyNumberFormat="1" applyFont="1" applyBorder="1" applyAlignment="1">
      <alignment horizontal="center"/>
    </xf>
    <xf numFmtId="49" fontId="169" fillId="0" borderId="8" xfId="0" applyNumberFormat="1" applyFont="1" applyFill="1" applyBorder="1" applyAlignment="1">
      <alignment horizontal="center" vertical="center"/>
    </xf>
    <xf numFmtId="49" fontId="163" fillId="0" borderId="8" xfId="0" applyNumberFormat="1" applyFont="1" applyFill="1" applyBorder="1" applyAlignment="1">
      <alignment horizontal="center"/>
    </xf>
    <xf numFmtId="0" fontId="172" fillId="0" borderId="8" xfId="0" applyNumberFormat="1" applyFont="1" applyFill="1" applyBorder="1" applyAlignment="1" applyProtection="1">
      <alignment horizontal="center" vertical="center" wrapText="1"/>
    </xf>
    <xf numFmtId="167" fontId="163" fillId="0" borderId="8" xfId="1" applyNumberFormat="1" applyFont="1" applyBorder="1"/>
    <xf numFmtId="49" fontId="163" fillId="0" borderId="74" xfId="0" applyNumberFormat="1" applyFont="1" applyBorder="1" applyAlignment="1">
      <alignment horizontal="center"/>
    </xf>
    <xf numFmtId="0" fontId="173" fillId="18" borderId="19" xfId="0" applyFont="1" applyFill="1" applyBorder="1" applyAlignment="1">
      <alignment horizontal="center"/>
    </xf>
    <xf numFmtId="0" fontId="173" fillId="18" borderId="20" xfId="0" applyFont="1" applyFill="1" applyBorder="1" applyAlignment="1">
      <alignment horizontal="center"/>
    </xf>
    <xf numFmtId="0" fontId="173" fillId="18" borderId="20" xfId="0" applyFont="1" applyFill="1" applyBorder="1"/>
    <xf numFmtId="49" fontId="173" fillId="18" borderId="20" xfId="0" applyNumberFormat="1" applyFont="1" applyFill="1" applyBorder="1" applyAlignment="1">
      <alignment horizontal="center"/>
    </xf>
    <xf numFmtId="3" fontId="166" fillId="0" borderId="20" xfId="0" applyNumberFormat="1" applyFont="1" applyBorder="1"/>
    <xf numFmtId="0" fontId="166" fillId="0" borderId="61" xfId="0" applyFont="1" applyBorder="1"/>
    <xf numFmtId="0" fontId="163" fillId="0" borderId="40" xfId="0" quotePrefix="1" applyNumberFormat="1" applyFont="1" applyFill="1" applyBorder="1" applyAlignment="1">
      <alignment horizontal="center" vertical="center"/>
    </xf>
    <xf numFmtId="0" fontId="163" fillId="0" borderId="10" xfId="0" applyFont="1" applyBorder="1" applyAlignment="1">
      <alignment horizontal="center"/>
    </xf>
    <xf numFmtId="3" fontId="163" fillId="0" borderId="10" xfId="0" applyNumberFormat="1" applyFont="1" applyBorder="1"/>
    <xf numFmtId="3" fontId="163" fillId="0" borderId="73" xfId="0" applyNumberFormat="1" applyFont="1" applyBorder="1" applyAlignment="1">
      <alignment horizontal="center"/>
    </xf>
    <xf numFmtId="0" fontId="163" fillId="0" borderId="32" xfId="0" quotePrefix="1" applyNumberFormat="1" applyFont="1" applyFill="1" applyBorder="1" applyAlignment="1">
      <alignment horizontal="center" vertical="center"/>
    </xf>
    <xf numFmtId="0" fontId="163" fillId="0" borderId="3" xfId="0" applyFont="1" applyBorder="1" applyAlignment="1">
      <alignment horizontal="center"/>
    </xf>
    <xf numFmtId="0" fontId="163" fillId="0" borderId="3" xfId="0" applyNumberFormat="1" applyFont="1" applyBorder="1" applyAlignment="1">
      <alignment horizontal="center"/>
    </xf>
    <xf numFmtId="49" fontId="163" fillId="0" borderId="3" xfId="0" applyNumberFormat="1" applyFont="1" applyBorder="1" applyAlignment="1">
      <alignment horizontal="center"/>
    </xf>
    <xf numFmtId="0" fontId="172" fillId="0" borderId="3" xfId="0" applyNumberFormat="1" applyFont="1" applyFill="1" applyBorder="1" applyAlignment="1" applyProtection="1">
      <alignment horizontal="center" vertical="center" wrapText="1"/>
    </xf>
    <xf numFmtId="167" fontId="163" fillId="0" borderId="3" xfId="0" applyNumberFormat="1" applyFont="1" applyBorder="1"/>
    <xf numFmtId="3" fontId="163" fillId="0" borderId="4" xfId="0" applyNumberFormat="1" applyFont="1" applyBorder="1" applyAlignment="1">
      <alignment horizontal="center"/>
    </xf>
    <xf numFmtId="0" fontId="163" fillId="0" borderId="0" xfId="0" quotePrefix="1" applyNumberFormat="1" applyFont="1" applyFill="1" applyBorder="1" applyAlignment="1">
      <alignment horizontal="center" vertical="center"/>
    </xf>
    <xf numFmtId="0" fontId="163" fillId="0" borderId="0" xfId="0" applyNumberFormat="1" applyFont="1" applyFill="1" applyBorder="1" applyAlignment="1">
      <alignment horizontal="center" vertical="center"/>
    </xf>
    <xf numFmtId="0" fontId="163" fillId="0" borderId="0" xfId="0" applyFont="1" applyBorder="1" applyAlignment="1">
      <alignment horizontal="center"/>
    </xf>
    <xf numFmtId="0" fontId="163" fillId="0" borderId="0" xfId="0" applyNumberFormat="1" applyFont="1" applyBorder="1" applyAlignment="1">
      <alignment horizontal="center"/>
    </xf>
    <xf numFmtId="49" fontId="163" fillId="0" borderId="0" xfId="0" applyNumberFormat="1" applyFont="1" applyBorder="1" applyAlignment="1">
      <alignment horizontal="center"/>
    </xf>
    <xf numFmtId="0" fontId="172" fillId="0" borderId="0" xfId="0" applyNumberFormat="1" applyFont="1" applyFill="1" applyBorder="1" applyAlignment="1" applyProtection="1">
      <alignment horizontal="center" vertical="center" wrapText="1"/>
    </xf>
    <xf numFmtId="167" fontId="163" fillId="0" borderId="7" xfId="0" applyNumberFormat="1" applyFont="1" applyBorder="1"/>
    <xf numFmtId="3" fontId="163" fillId="0" borderId="0" xfId="0" applyNumberFormat="1" applyFont="1" applyBorder="1" applyAlignment="1">
      <alignment horizontal="center"/>
    </xf>
    <xf numFmtId="0" fontId="174" fillId="0" borderId="0" xfId="0" quotePrefix="1" applyNumberFormat="1" applyFont="1" applyFill="1" applyBorder="1" applyAlignment="1">
      <alignment horizontal="center" vertical="center"/>
    </xf>
    <xf numFmtId="0" fontId="174" fillId="0" borderId="0" xfId="0" applyNumberFormat="1" applyFont="1" applyFill="1" applyBorder="1" applyAlignment="1">
      <alignment horizontal="center" vertical="center"/>
    </xf>
    <xf numFmtId="0" fontId="169" fillId="0" borderId="0" xfId="0" applyFont="1" applyBorder="1" applyAlignment="1">
      <alignment horizontal="center"/>
    </xf>
    <xf numFmtId="49" fontId="169" fillId="0" borderId="0" xfId="0" applyNumberFormat="1" applyFont="1" applyBorder="1" applyAlignment="1">
      <alignment horizontal="center"/>
    </xf>
    <xf numFmtId="167" fontId="165" fillId="0" borderId="7" xfId="0" applyNumberFormat="1" applyFont="1" applyBorder="1" applyAlignment="1">
      <alignment horizontal="center"/>
    </xf>
    <xf numFmtId="167" fontId="165" fillId="0" borderId="0" xfId="0" applyNumberFormat="1" applyFont="1" applyBorder="1" applyAlignment="1">
      <alignment horizontal="center"/>
    </xf>
    <xf numFmtId="167" fontId="163" fillId="0" borderId="0" xfId="0" applyNumberFormat="1" applyFont="1" applyBorder="1"/>
    <xf numFmtId="0" fontId="169" fillId="0" borderId="0" xfId="0" applyFont="1" applyAlignment="1">
      <alignment horizontal="center"/>
    </xf>
    <xf numFmtId="49" fontId="169" fillId="0" borderId="0" xfId="0" applyNumberFormat="1" applyFont="1" applyAlignment="1">
      <alignment horizontal="center"/>
    </xf>
    <xf numFmtId="0" fontId="165" fillId="18" borderId="12" xfId="0" applyFont="1" applyFill="1" applyBorder="1" applyAlignment="1">
      <alignment horizontal="center" vertical="center" wrapText="1"/>
    </xf>
    <xf numFmtId="0" fontId="165" fillId="18" borderId="30" xfId="0" applyFont="1" applyFill="1" applyBorder="1" applyAlignment="1">
      <alignment horizontal="center" vertical="center" wrapText="1"/>
    </xf>
    <xf numFmtId="49" fontId="165" fillId="18" borderId="30" xfId="0" applyNumberFormat="1" applyFont="1" applyFill="1" applyBorder="1" applyAlignment="1">
      <alignment horizontal="center" vertical="center" wrapText="1"/>
    </xf>
    <xf numFmtId="49" fontId="170" fillId="19" borderId="11" xfId="0" applyNumberFormat="1" applyFont="1" applyFill="1" applyBorder="1" applyAlignment="1" applyProtection="1">
      <alignment horizontal="center" vertical="center" wrapText="1"/>
    </xf>
    <xf numFmtId="0" fontId="170" fillId="19" borderId="30" xfId="0" applyNumberFormat="1" applyFont="1" applyFill="1" applyBorder="1" applyAlignment="1" applyProtection="1">
      <alignment horizontal="center" vertical="center" wrapText="1"/>
    </xf>
    <xf numFmtId="0" fontId="165" fillId="19" borderId="30" xfId="0" applyNumberFormat="1" applyFont="1" applyFill="1" applyBorder="1" applyAlignment="1" applyProtection="1">
      <alignment horizontal="center" vertical="center" wrapText="1"/>
    </xf>
    <xf numFmtId="0" fontId="165" fillId="18" borderId="13" xfId="0" applyFont="1" applyFill="1" applyBorder="1" applyAlignment="1">
      <alignment horizontal="center" vertical="center" wrapText="1"/>
    </xf>
    <xf numFmtId="0" fontId="171" fillId="18" borderId="19" xfId="0" applyFont="1" applyFill="1" applyBorder="1" applyAlignment="1">
      <alignment horizontal="center"/>
    </xf>
    <xf numFmtId="0" fontId="165" fillId="18" borderId="20" xfId="0" applyFont="1" applyFill="1" applyBorder="1" applyAlignment="1">
      <alignment horizontal="center" vertical="center" wrapText="1"/>
    </xf>
    <xf numFmtId="0" fontId="171" fillId="18" borderId="20" xfId="0" applyFont="1" applyFill="1" applyBorder="1" applyAlignment="1">
      <alignment horizontal="center"/>
    </xf>
    <xf numFmtId="49" fontId="170" fillId="17" borderId="20" xfId="0" applyNumberFormat="1" applyFont="1" applyFill="1" applyBorder="1" applyAlignment="1" applyProtection="1">
      <alignment horizontal="center" vertical="center" wrapText="1"/>
    </xf>
    <xf numFmtId="0" fontId="170" fillId="17" borderId="20" xfId="0" applyNumberFormat="1" applyFont="1" applyFill="1" applyBorder="1" applyAlignment="1" applyProtection="1">
      <alignment horizontal="center" vertical="center" wrapText="1"/>
    </xf>
    <xf numFmtId="0" fontId="165" fillId="17" borderId="20" xfId="0" applyNumberFormat="1" applyFont="1" applyFill="1" applyBorder="1" applyAlignment="1" applyProtection="1">
      <alignment horizontal="center" vertical="center" wrapText="1"/>
    </xf>
    <xf numFmtId="167" fontId="165" fillId="18" borderId="20" xfId="0" applyNumberFormat="1" applyFont="1" applyFill="1" applyBorder="1" applyAlignment="1">
      <alignment horizontal="center" vertical="center" wrapText="1"/>
    </xf>
    <xf numFmtId="0" fontId="169" fillId="0" borderId="61" xfId="0" applyFont="1" applyBorder="1"/>
    <xf numFmtId="0" fontId="163" fillId="0" borderId="1" xfId="0" applyNumberFormat="1" applyFont="1" applyFill="1" applyBorder="1" applyAlignment="1" applyProtection="1">
      <alignment horizontal="center" vertical="center" wrapText="1"/>
    </xf>
    <xf numFmtId="49" fontId="174" fillId="0" borderId="2" xfId="0" applyNumberFormat="1" applyFont="1" applyBorder="1" applyAlignment="1">
      <alignment horizontal="center"/>
    </xf>
    <xf numFmtId="0" fontId="163" fillId="0" borderId="8" xfId="0" applyNumberFormat="1" applyFont="1" applyFill="1" applyBorder="1" applyAlignment="1" applyProtection="1">
      <alignment horizontal="center" vertical="center" wrapText="1"/>
    </xf>
    <xf numFmtId="0" fontId="171" fillId="0" borderId="19" xfId="0" applyFont="1" applyBorder="1" applyAlignment="1">
      <alignment horizontal="center" vertical="center" wrapText="1"/>
    </xf>
    <xf numFmtId="0" fontId="171" fillId="0" borderId="20" xfId="0" applyFont="1" applyBorder="1" applyAlignment="1">
      <alignment horizontal="center" vertical="center" wrapText="1"/>
    </xf>
    <xf numFmtId="49" fontId="171" fillId="0" borderId="20" xfId="0" applyNumberFormat="1" applyFont="1" applyBorder="1" applyAlignment="1">
      <alignment horizontal="center" vertical="center" wrapText="1"/>
    </xf>
    <xf numFmtId="0" fontId="165" fillId="0" borderId="20" xfId="0" applyFont="1" applyBorder="1" applyAlignment="1">
      <alignment horizontal="center" vertical="center" wrapText="1"/>
    </xf>
    <xf numFmtId="167" fontId="165" fillId="0" borderId="20" xfId="0" applyNumberFormat="1" applyFont="1" applyBorder="1" applyAlignment="1">
      <alignment horizontal="center" vertical="center" wrapText="1"/>
    </xf>
    <xf numFmtId="0" fontId="171" fillId="0" borderId="61" xfId="0" applyFont="1" applyBorder="1" applyAlignment="1">
      <alignment horizontal="center" vertical="center" wrapText="1"/>
    </xf>
    <xf numFmtId="49" fontId="163" fillId="0" borderId="48" xfId="0" applyNumberFormat="1" applyFont="1" applyBorder="1" applyAlignment="1">
      <alignment horizontal="center"/>
    </xf>
    <xf numFmtId="0" fontId="163" fillId="0" borderId="49" xfId="0" quotePrefix="1" applyNumberFormat="1" applyFont="1" applyFill="1" applyBorder="1" applyAlignment="1">
      <alignment horizontal="center" vertical="center"/>
    </xf>
    <xf numFmtId="0" fontId="163" fillId="0" borderId="49" xfId="0" applyNumberFormat="1" applyFont="1" applyFill="1" applyBorder="1" applyAlignment="1">
      <alignment horizontal="center" vertical="center"/>
    </xf>
    <xf numFmtId="0" fontId="163" fillId="0" borderId="49" xfId="0" applyFont="1" applyBorder="1" applyAlignment="1">
      <alignment horizontal="center"/>
    </xf>
    <xf numFmtId="49" fontId="163" fillId="0" borderId="49" xfId="0" applyNumberFormat="1" applyFont="1" applyBorder="1" applyAlignment="1">
      <alignment horizontal="center"/>
    </xf>
    <xf numFmtId="167" fontId="163" fillId="0" borderId="49" xfId="0" applyNumberFormat="1" applyFont="1" applyBorder="1"/>
    <xf numFmtId="0" fontId="163" fillId="0" borderId="62" xfId="0" applyFont="1" applyBorder="1" applyAlignment="1">
      <alignment horizontal="center"/>
    </xf>
    <xf numFmtId="0" fontId="175" fillId="2" borderId="0" xfId="0" applyFont="1" applyFill="1" applyBorder="1" applyAlignment="1">
      <alignment horizontal="left"/>
    </xf>
    <xf numFmtId="0" fontId="175" fillId="2" borderId="0" xfId="0" applyFont="1" applyFill="1" applyBorder="1" applyAlignment="1">
      <alignment horizontal="center"/>
    </xf>
    <xf numFmtId="49" fontId="175" fillId="2" borderId="0" xfId="0" applyNumberFormat="1" applyFont="1" applyFill="1" applyBorder="1" applyAlignment="1">
      <alignment horizontal="center"/>
    </xf>
    <xf numFmtId="0" fontId="176" fillId="18" borderId="11" xfId="0" applyFont="1" applyFill="1" applyBorder="1" applyAlignment="1">
      <alignment horizontal="center" vertical="center" wrapText="1"/>
    </xf>
    <xf numFmtId="0" fontId="176" fillId="18" borderId="22" xfId="0" applyFont="1" applyFill="1" applyBorder="1" applyAlignment="1">
      <alignment horizontal="center" vertical="center" wrapText="1"/>
    </xf>
    <xf numFmtId="49" fontId="176" fillId="18" borderId="22" xfId="0" applyNumberFormat="1" applyFont="1" applyFill="1" applyBorder="1" applyAlignment="1">
      <alignment horizontal="center" vertical="center" wrapText="1"/>
    </xf>
    <xf numFmtId="49" fontId="177" fillId="19" borderId="11" xfId="0" applyNumberFormat="1" applyFont="1" applyFill="1" applyBorder="1" applyAlignment="1" applyProtection="1">
      <alignment horizontal="center" vertical="center" wrapText="1"/>
    </xf>
    <xf numFmtId="0" fontId="177" fillId="19" borderId="22" xfId="0" applyNumberFormat="1" applyFont="1" applyFill="1" applyBorder="1" applyAlignment="1" applyProtection="1">
      <alignment horizontal="center" vertical="center" wrapText="1"/>
    </xf>
    <xf numFmtId="0" fontId="176" fillId="18" borderId="33" xfId="0" applyFont="1" applyFill="1" applyBorder="1" applyAlignment="1">
      <alignment horizontal="center" vertical="center" wrapText="1"/>
    </xf>
    <xf numFmtId="3" fontId="175" fillId="18" borderId="12" xfId="0" applyNumberFormat="1" applyFont="1" applyFill="1" applyBorder="1" applyAlignment="1">
      <alignment horizontal="center" vertical="center" wrapText="1"/>
    </xf>
    <xf numFmtId="3" fontId="175" fillId="18" borderId="30" xfId="0" applyNumberFormat="1" applyFont="1" applyFill="1" applyBorder="1" applyAlignment="1">
      <alignment horizontal="center" vertical="center" wrapText="1"/>
    </xf>
    <xf numFmtId="49" fontId="175" fillId="18" borderId="30" xfId="0" applyNumberFormat="1" applyFont="1" applyFill="1" applyBorder="1" applyAlignment="1">
      <alignment horizontal="center" vertical="center" wrapText="1"/>
    </xf>
    <xf numFmtId="0" fontId="154" fillId="18" borderId="30" xfId="0" applyFont="1" applyFill="1" applyBorder="1" applyAlignment="1">
      <alignment horizontal="center" vertical="center" wrapText="1"/>
    </xf>
    <xf numFmtId="49" fontId="154" fillId="18" borderId="30" xfId="0" quotePrefix="1" applyNumberFormat="1" applyFont="1" applyFill="1" applyBorder="1" applyAlignment="1">
      <alignment horizontal="center" vertical="center" wrapText="1"/>
    </xf>
    <xf numFmtId="3" fontId="178" fillId="0" borderId="11" xfId="0" applyNumberFormat="1" applyFont="1" applyBorder="1" applyAlignment="1">
      <alignment horizontal="center" vertical="center" wrapText="1"/>
    </xf>
    <xf numFmtId="49" fontId="175" fillId="0" borderId="40" xfId="0" applyNumberFormat="1" applyFont="1" applyBorder="1" applyAlignment="1">
      <alignment horizontal="center"/>
    </xf>
    <xf numFmtId="0" fontId="175" fillId="18" borderId="10" xfId="0" applyFont="1" applyFill="1" applyBorder="1" applyAlignment="1">
      <alignment horizontal="center"/>
    </xf>
    <xf numFmtId="49" fontId="175" fillId="0" borderId="10" xfId="0" applyNumberFormat="1" applyFont="1" applyBorder="1" applyAlignment="1">
      <alignment horizontal="center"/>
    </xf>
    <xf numFmtId="49" fontId="175" fillId="0" borderId="73" xfId="0" applyNumberFormat="1" applyFont="1" applyBorder="1" applyAlignment="1">
      <alignment horizontal="center"/>
    </xf>
    <xf numFmtId="0" fontId="175" fillId="0" borderId="10" xfId="0" applyNumberFormat="1" applyFont="1" applyBorder="1" applyAlignment="1">
      <alignment horizontal="center"/>
    </xf>
    <xf numFmtId="49" fontId="175" fillId="0" borderId="10" xfId="0" applyNumberFormat="1" applyFont="1" applyFill="1" applyBorder="1" applyAlignment="1">
      <alignment horizontal="center"/>
    </xf>
    <xf numFmtId="49" fontId="175" fillId="0" borderId="9" xfId="0" applyNumberFormat="1" applyFont="1" applyBorder="1" applyAlignment="1">
      <alignment horizontal="center"/>
    </xf>
    <xf numFmtId="167" fontId="179" fillId="0" borderId="15" xfId="1" applyNumberFormat="1" applyFont="1" applyBorder="1"/>
    <xf numFmtId="49" fontId="175" fillId="0" borderId="31" xfId="0" applyNumberFormat="1" applyFont="1" applyFill="1" applyBorder="1" applyAlignment="1">
      <alignment horizontal="center"/>
    </xf>
    <xf numFmtId="0" fontId="175" fillId="18" borderId="1" xfId="0" applyFont="1" applyFill="1" applyBorder="1" applyAlignment="1">
      <alignment horizontal="center"/>
    </xf>
    <xf numFmtId="49" fontId="175" fillId="0" borderId="1" xfId="0" applyNumberFormat="1" applyFont="1" applyFill="1" applyBorder="1" applyAlignment="1">
      <alignment horizontal="center"/>
    </xf>
    <xf numFmtId="49" fontId="175" fillId="0" borderId="2" xfId="0" applyNumberFormat="1" applyFont="1" applyBorder="1" applyAlignment="1">
      <alignment horizontal="center"/>
    </xf>
    <xf numFmtId="49" fontId="175" fillId="0" borderId="1" xfId="0" applyNumberFormat="1" applyFont="1" applyBorder="1" applyAlignment="1">
      <alignment horizontal="center"/>
    </xf>
    <xf numFmtId="0" fontId="175" fillId="0" borderId="1" xfId="0" applyNumberFormat="1" applyFont="1" applyBorder="1" applyAlignment="1">
      <alignment horizontal="center"/>
    </xf>
    <xf numFmtId="49" fontId="175" fillId="0" borderId="14" xfId="0" applyNumberFormat="1" applyFont="1" applyBorder="1" applyAlignment="1">
      <alignment horizontal="center"/>
    </xf>
    <xf numFmtId="167" fontId="179" fillId="0" borderId="16" xfId="1" applyNumberFormat="1" applyFont="1" applyBorder="1"/>
    <xf numFmtId="49" fontId="175" fillId="0" borderId="31" xfId="0" applyNumberFormat="1" applyFont="1" applyBorder="1" applyAlignment="1">
      <alignment horizontal="center"/>
    </xf>
    <xf numFmtId="49" fontId="175" fillId="0" borderId="14" xfId="0" quotePrefix="1" applyNumberFormat="1" applyFont="1" applyBorder="1" applyAlignment="1">
      <alignment horizontal="center"/>
    </xf>
    <xf numFmtId="167" fontId="180" fillId="0" borderId="16" xfId="1" applyNumberFormat="1" applyFont="1" applyBorder="1"/>
    <xf numFmtId="49" fontId="175" fillId="0" borderId="2" xfId="0" applyNumberFormat="1" applyFont="1" applyFill="1" applyBorder="1" applyAlignment="1">
      <alignment horizontal="center"/>
    </xf>
    <xf numFmtId="49" fontId="175" fillId="0" borderId="14" xfId="0" applyNumberFormat="1" applyFont="1" applyFill="1" applyBorder="1" applyAlignment="1">
      <alignment horizontal="center"/>
    </xf>
    <xf numFmtId="49" fontId="181" fillId="0" borderId="2" xfId="0" applyNumberFormat="1" applyFont="1" applyBorder="1" applyAlignment="1">
      <alignment horizontal="center"/>
    </xf>
    <xf numFmtId="49" fontId="175" fillId="0" borderId="32" xfId="0" applyNumberFormat="1" applyFont="1" applyBorder="1" applyAlignment="1">
      <alignment horizontal="center"/>
    </xf>
    <xf numFmtId="0" fontId="175" fillId="0" borderId="3" xfId="0" applyFont="1" applyBorder="1" applyAlignment="1">
      <alignment horizontal="center"/>
    </xf>
    <xf numFmtId="49" fontId="175" fillId="0" borderId="3" xfId="0" applyNumberFormat="1" applyFont="1" applyBorder="1" applyAlignment="1">
      <alignment horizontal="center"/>
    </xf>
    <xf numFmtId="49" fontId="175" fillId="0" borderId="4" xfId="0" applyNumberFormat="1" applyFont="1" applyBorder="1" applyAlignment="1">
      <alignment horizontal="center"/>
    </xf>
    <xf numFmtId="0" fontId="175" fillId="0" borderId="3" xfId="0" applyNumberFormat="1" applyFont="1" applyBorder="1" applyAlignment="1">
      <alignment horizontal="center"/>
    </xf>
    <xf numFmtId="49" fontId="175" fillId="0" borderId="3" xfId="0" applyNumberFormat="1" applyFont="1" applyFill="1" applyBorder="1" applyAlignment="1">
      <alignment horizontal="center"/>
    </xf>
    <xf numFmtId="49" fontId="175" fillId="0" borderId="53" xfId="0" applyNumberFormat="1" applyFont="1" applyBorder="1" applyAlignment="1">
      <alignment horizontal="center"/>
    </xf>
    <xf numFmtId="167" fontId="179" fillId="0" borderId="54" xfId="1" applyNumberFormat="1" applyFont="1" applyBorder="1"/>
    <xf numFmtId="0" fontId="179" fillId="18" borderId="12" xfId="0" applyFont="1" applyFill="1" applyBorder="1" applyAlignment="1">
      <alignment horizontal="center"/>
    </xf>
    <xf numFmtId="0" fontId="179" fillId="18" borderId="30" xfId="0" applyFont="1" applyFill="1" applyBorder="1" applyAlignment="1">
      <alignment horizontal="center"/>
    </xf>
    <xf numFmtId="0" fontId="179" fillId="18" borderId="30" xfId="0" applyFont="1" applyFill="1" applyBorder="1"/>
    <xf numFmtId="0" fontId="179" fillId="0" borderId="13" xfId="0" applyFont="1" applyBorder="1"/>
    <xf numFmtId="49" fontId="179" fillId="18" borderId="30" xfId="0" applyNumberFormat="1" applyFont="1" applyFill="1" applyBorder="1" applyAlignment="1">
      <alignment horizontal="center"/>
    </xf>
    <xf numFmtId="3" fontId="179" fillId="0" borderId="11" xfId="0" applyNumberFormat="1" applyFont="1" applyBorder="1"/>
    <xf numFmtId="0" fontId="181" fillId="0" borderId="36" xfId="0" quotePrefix="1" applyNumberFormat="1" applyFont="1" applyFill="1" applyBorder="1" applyAlignment="1">
      <alignment horizontal="center" vertical="center"/>
    </xf>
    <xf numFmtId="0" fontId="181" fillId="0" borderId="37" xfId="0" applyNumberFormat="1" applyFont="1" applyFill="1" applyBorder="1" applyAlignment="1">
      <alignment horizontal="center" vertical="center"/>
    </xf>
    <xf numFmtId="3" fontId="154" fillId="0" borderId="39" xfId="0" applyNumberFormat="1" applyFont="1" applyBorder="1" applyAlignment="1">
      <alignment horizontal="center"/>
    </xf>
    <xf numFmtId="0" fontId="154" fillId="0" borderId="37" xfId="0" applyFont="1" applyBorder="1" applyAlignment="1">
      <alignment horizontal="center"/>
    </xf>
    <xf numFmtId="0" fontId="175" fillId="0" borderId="37" xfId="0" applyNumberFormat="1" applyFont="1" applyBorder="1" applyAlignment="1">
      <alignment horizontal="center"/>
    </xf>
    <xf numFmtId="49" fontId="175" fillId="0" borderId="37" xfId="0" applyNumberFormat="1" applyFont="1" applyFill="1" applyBorder="1" applyAlignment="1">
      <alignment horizontal="center"/>
    </xf>
    <xf numFmtId="0" fontId="181" fillId="0" borderId="38" xfId="0" applyNumberFormat="1" applyFont="1" applyFill="1" applyBorder="1" applyAlignment="1">
      <alignment horizontal="center" vertical="center"/>
    </xf>
    <xf numFmtId="3" fontId="179" fillId="0" borderId="51" xfId="0" applyNumberFormat="1" applyFont="1" applyBorder="1"/>
    <xf numFmtId="0" fontId="181" fillId="0" borderId="32" xfId="0" quotePrefix="1" applyNumberFormat="1" applyFont="1" applyFill="1" applyBorder="1" applyAlignment="1">
      <alignment horizontal="center" vertical="center"/>
    </xf>
    <xf numFmtId="0" fontId="181" fillId="0" borderId="3" xfId="0" applyNumberFormat="1" applyFont="1" applyFill="1" applyBorder="1" applyAlignment="1">
      <alignment horizontal="center" vertical="center"/>
    </xf>
    <xf numFmtId="3" fontId="154" fillId="0" borderId="4" xfId="0" applyNumberFormat="1" applyFont="1" applyBorder="1" applyAlignment="1">
      <alignment horizontal="center"/>
    </xf>
    <xf numFmtId="0" fontId="154" fillId="0" borderId="3" xfId="0" applyFont="1" applyBorder="1" applyAlignment="1">
      <alignment horizontal="center"/>
    </xf>
    <xf numFmtId="0" fontId="181" fillId="0" borderId="53" xfId="0" applyNumberFormat="1" applyFont="1" applyFill="1" applyBorder="1" applyAlignment="1">
      <alignment horizontal="center" vertical="center"/>
    </xf>
    <xf numFmtId="167" fontId="179" fillId="0" borderId="54" xfId="0" applyNumberFormat="1" applyFont="1" applyBorder="1"/>
    <xf numFmtId="0" fontId="154" fillId="0" borderId="0" xfId="0" applyFont="1"/>
    <xf numFmtId="0" fontId="176" fillId="18" borderId="21" xfId="0" applyFont="1" applyFill="1" applyBorder="1" applyAlignment="1">
      <alignment horizontal="center" vertical="center" wrapText="1"/>
    </xf>
    <xf numFmtId="49" fontId="176" fillId="18" borderId="33" xfId="0" applyNumberFormat="1" applyFont="1" applyFill="1" applyBorder="1" applyAlignment="1">
      <alignment horizontal="center" vertical="center" wrapText="1"/>
    </xf>
    <xf numFmtId="0" fontId="176" fillId="18" borderId="51" xfId="0" applyFont="1" applyFill="1" applyBorder="1" applyAlignment="1">
      <alignment horizontal="center" vertical="center" wrapText="1"/>
    </xf>
    <xf numFmtId="0" fontId="176" fillId="18" borderId="30" xfId="0" applyFont="1" applyFill="1" applyBorder="1" applyAlignment="1">
      <alignment horizontal="center" vertical="center" wrapText="1"/>
    </xf>
    <xf numFmtId="167" fontId="176" fillId="18" borderId="12" xfId="0" applyNumberFormat="1" applyFont="1" applyFill="1" applyBorder="1" applyAlignment="1">
      <alignment horizontal="center" vertical="center" wrapText="1"/>
    </xf>
    <xf numFmtId="167" fontId="175" fillId="2" borderId="16" xfId="0" applyNumberFormat="1" applyFont="1" applyFill="1" applyBorder="1" applyAlignment="1">
      <alignment horizontal="center"/>
    </xf>
    <xf numFmtId="0" fontId="179" fillId="0" borderId="24" xfId="0" applyFont="1" applyBorder="1" applyAlignment="1">
      <alignment horizontal="center" vertical="center" wrapText="1"/>
    </xf>
    <xf numFmtId="0" fontId="179" fillId="0" borderId="0" xfId="0" applyFont="1" applyBorder="1" applyAlignment="1">
      <alignment horizontal="center" vertical="center" wrapText="1"/>
    </xf>
    <xf numFmtId="49" fontId="179" fillId="0" borderId="0" xfId="0" applyNumberFormat="1" applyFont="1" applyBorder="1" applyAlignment="1">
      <alignment horizontal="center" vertical="center" wrapText="1"/>
    </xf>
    <xf numFmtId="49" fontId="175" fillId="0" borderId="19" xfId="0" applyNumberFormat="1" applyFont="1" applyBorder="1" applyAlignment="1">
      <alignment horizontal="center"/>
    </xf>
    <xf numFmtId="0" fontId="180" fillId="0" borderId="59" xfId="0" applyNumberFormat="1" applyFont="1" applyFill="1" applyBorder="1" applyAlignment="1">
      <alignment horizontal="center" vertical="center"/>
    </xf>
    <xf numFmtId="0" fontId="154" fillId="0" borderId="0" xfId="0" applyFont="1" applyAlignment="1">
      <alignment horizontal="center"/>
    </xf>
    <xf numFmtId="0" fontId="147" fillId="2" borderId="0" xfId="0" applyFont="1" applyFill="1" applyBorder="1" applyAlignment="1">
      <alignment horizontal="left"/>
    </xf>
    <xf numFmtId="0" fontId="147" fillId="2" borderId="0" xfId="0" applyFont="1" applyFill="1" applyBorder="1" applyAlignment="1">
      <alignment horizontal="center"/>
    </xf>
    <xf numFmtId="49" fontId="147" fillId="2" borderId="0" xfId="0" applyNumberFormat="1" applyFont="1" applyFill="1" applyBorder="1" applyAlignment="1">
      <alignment horizontal="center"/>
    </xf>
    <xf numFmtId="0" fontId="147" fillId="8" borderId="0" xfId="0" applyFont="1" applyFill="1" applyBorder="1" applyAlignment="1">
      <alignment horizontal="center"/>
    </xf>
    <xf numFmtId="0" fontId="182" fillId="18" borderId="11" xfId="0" applyFont="1" applyFill="1" applyBorder="1" applyAlignment="1">
      <alignment horizontal="center" vertical="center" wrapText="1"/>
    </xf>
    <xf numFmtId="0" fontId="182" fillId="18" borderId="22" xfId="0" applyFont="1" applyFill="1" applyBorder="1" applyAlignment="1">
      <alignment horizontal="center" vertical="center" wrapText="1"/>
    </xf>
    <xf numFmtId="49" fontId="182" fillId="18" borderId="22" xfId="0" applyNumberFormat="1" applyFont="1" applyFill="1" applyBorder="1" applyAlignment="1">
      <alignment horizontal="center" vertical="center" wrapText="1"/>
    </xf>
    <xf numFmtId="49" fontId="182" fillId="19" borderId="11" xfId="0" applyNumberFormat="1" applyFont="1" applyFill="1" applyBorder="1" applyAlignment="1" applyProtection="1">
      <alignment horizontal="center" vertical="center" wrapText="1"/>
    </xf>
    <xf numFmtId="0" fontId="182" fillId="19" borderId="22" xfId="0" applyNumberFormat="1" applyFont="1" applyFill="1" applyBorder="1" applyAlignment="1" applyProtection="1">
      <alignment horizontal="center" vertical="center" wrapText="1"/>
    </xf>
    <xf numFmtId="0" fontId="147" fillId="8" borderId="33" xfId="0" applyFont="1" applyFill="1" applyBorder="1" applyAlignment="1">
      <alignment horizontal="center" vertical="center" wrapText="1"/>
    </xf>
    <xf numFmtId="3" fontId="147" fillId="18" borderId="21" xfId="0" applyNumberFormat="1" applyFont="1" applyFill="1" applyBorder="1" applyAlignment="1">
      <alignment horizontal="center" vertical="center" wrapText="1"/>
    </xf>
    <xf numFmtId="3" fontId="147" fillId="18" borderId="22" xfId="0" applyNumberFormat="1" applyFont="1" applyFill="1" applyBorder="1" applyAlignment="1">
      <alignment horizontal="center" vertical="center" wrapText="1"/>
    </xf>
    <xf numFmtId="49" fontId="147" fillId="18" borderId="22" xfId="0" applyNumberFormat="1" applyFont="1" applyFill="1" applyBorder="1" applyAlignment="1">
      <alignment horizontal="center" vertical="center" wrapText="1"/>
    </xf>
    <xf numFmtId="0" fontId="147" fillId="18" borderId="22" xfId="0" applyFont="1" applyFill="1" applyBorder="1" applyAlignment="1">
      <alignment horizontal="center" vertical="center" wrapText="1"/>
    </xf>
    <xf numFmtId="49" fontId="147" fillId="18" borderId="22" xfId="0" quotePrefix="1" applyNumberFormat="1" applyFont="1" applyFill="1" applyBorder="1" applyAlignment="1">
      <alignment horizontal="center" vertical="center" wrapText="1"/>
    </xf>
    <xf numFmtId="3" fontId="183" fillId="8" borderId="33" xfId="0" applyNumberFormat="1" applyFont="1" applyFill="1" applyBorder="1" applyAlignment="1">
      <alignment horizontal="center" vertical="center" wrapText="1"/>
    </xf>
    <xf numFmtId="49" fontId="147" fillId="0" borderId="36" xfId="0" applyNumberFormat="1" applyFont="1" applyBorder="1" applyAlignment="1">
      <alignment horizontal="center"/>
    </xf>
    <xf numFmtId="0" fontId="147" fillId="18" borderId="37" xfId="0" applyFont="1" applyFill="1" applyBorder="1" applyAlignment="1">
      <alignment horizontal="center"/>
    </xf>
    <xf numFmtId="49" fontId="147" fillId="0" borderId="37" xfId="0" applyNumberFormat="1" applyFont="1" applyBorder="1" applyAlignment="1">
      <alignment horizontal="center"/>
    </xf>
    <xf numFmtId="0" fontId="147" fillId="0" borderId="37" xfId="0" applyNumberFormat="1" applyFont="1" applyBorder="1" applyAlignment="1">
      <alignment horizontal="center"/>
    </xf>
    <xf numFmtId="49" fontId="147" fillId="0" borderId="37" xfId="0" applyNumberFormat="1" applyFont="1" applyFill="1" applyBorder="1" applyAlignment="1">
      <alignment horizontal="center"/>
    </xf>
    <xf numFmtId="49" fontId="147" fillId="0" borderId="38" xfId="0" applyNumberFormat="1" applyFont="1" applyBorder="1" applyAlignment="1">
      <alignment horizontal="center"/>
    </xf>
    <xf numFmtId="167" fontId="141" fillId="0" borderId="51" xfId="1" applyNumberFormat="1" applyFont="1" applyFill="1" applyBorder="1" applyAlignment="1">
      <alignment horizontal="left"/>
    </xf>
    <xf numFmtId="49" fontId="147" fillId="0" borderId="31" xfId="0" applyNumberFormat="1" applyFont="1" applyFill="1" applyBorder="1" applyAlignment="1">
      <alignment horizontal="center"/>
    </xf>
    <xf numFmtId="0" fontId="147" fillId="18" borderId="1" xfId="0" applyFont="1" applyFill="1" applyBorder="1" applyAlignment="1">
      <alignment horizontal="center"/>
    </xf>
    <xf numFmtId="49" fontId="147" fillId="0" borderId="1" xfId="0" applyNumberFormat="1" applyFont="1" applyFill="1" applyBorder="1" applyAlignment="1">
      <alignment horizontal="center"/>
    </xf>
    <xf numFmtId="49" fontId="147" fillId="0" borderId="1" xfId="0" applyNumberFormat="1" applyFont="1" applyBorder="1" applyAlignment="1">
      <alignment horizontal="center"/>
    </xf>
    <xf numFmtId="0" fontId="147" fillId="0" borderId="1" xfId="0" applyNumberFormat="1" applyFont="1" applyBorder="1" applyAlignment="1">
      <alignment horizontal="center"/>
    </xf>
    <xf numFmtId="49" fontId="147" fillId="0" borderId="14" xfId="0" applyNumberFormat="1" applyFont="1" applyBorder="1" applyAlignment="1">
      <alignment horizontal="center"/>
    </xf>
    <xf numFmtId="167" fontId="141" fillId="0" borderId="16" xfId="1" applyNumberFormat="1" applyFont="1" applyFill="1" applyBorder="1" applyAlignment="1">
      <alignment horizontal="left"/>
    </xf>
    <xf numFmtId="49" fontId="147" fillId="0" borderId="31" xfId="0" applyNumberFormat="1" applyFont="1" applyBorder="1" applyAlignment="1">
      <alignment horizontal="center"/>
    </xf>
    <xf numFmtId="49" fontId="147" fillId="0" borderId="14" xfId="0" quotePrefix="1" applyNumberFormat="1" applyFont="1" applyBorder="1" applyAlignment="1">
      <alignment horizontal="center"/>
    </xf>
    <xf numFmtId="49" fontId="147" fillId="0" borderId="14" xfId="0" applyNumberFormat="1" applyFont="1" applyFill="1" applyBorder="1" applyAlignment="1">
      <alignment horizontal="center"/>
    </xf>
    <xf numFmtId="167" fontId="141" fillId="8" borderId="16" xfId="0" applyNumberFormat="1" applyFont="1" applyFill="1" applyBorder="1"/>
    <xf numFmtId="3" fontId="141" fillId="8" borderId="16" xfId="1" applyNumberFormat="1" applyFont="1" applyFill="1" applyBorder="1"/>
    <xf numFmtId="49" fontId="147" fillId="0" borderId="32" xfId="0" applyNumberFormat="1" applyFont="1" applyBorder="1" applyAlignment="1">
      <alignment horizontal="center"/>
    </xf>
    <xf numFmtId="49" fontId="147" fillId="0" borderId="3" xfId="0" applyNumberFormat="1" applyFont="1" applyBorder="1" applyAlignment="1">
      <alignment horizontal="center"/>
    </xf>
    <xf numFmtId="0" fontId="147" fillId="0" borderId="3" xfId="0" applyNumberFormat="1" applyFont="1" applyBorder="1" applyAlignment="1">
      <alignment horizontal="center"/>
    </xf>
    <xf numFmtId="49" fontId="147" fillId="0" borderId="3" xfId="0" applyNumberFormat="1" applyFont="1" applyFill="1" applyBorder="1" applyAlignment="1">
      <alignment horizontal="center"/>
    </xf>
    <xf numFmtId="49" fontId="147" fillId="0" borderId="53" xfId="0" applyNumberFormat="1" applyFont="1" applyBorder="1" applyAlignment="1">
      <alignment horizontal="center"/>
    </xf>
    <xf numFmtId="3" fontId="141" fillId="8" borderId="54" xfId="1" applyNumberFormat="1" applyFont="1" applyFill="1" applyBorder="1"/>
    <xf numFmtId="0" fontId="182" fillId="18" borderId="48" xfId="0" applyFont="1" applyFill="1" applyBorder="1" applyAlignment="1">
      <alignment horizontal="center"/>
    </xf>
    <xf numFmtId="0" fontId="182" fillId="18" borderId="49" xfId="0" applyFont="1" applyFill="1" applyBorder="1" applyAlignment="1">
      <alignment horizontal="center"/>
    </xf>
    <xf numFmtId="0" fontId="182" fillId="18" borderId="49" xfId="0" applyFont="1" applyFill="1" applyBorder="1"/>
    <xf numFmtId="0" fontId="182" fillId="0" borderId="49" xfId="0" applyFont="1" applyBorder="1"/>
    <xf numFmtId="49" fontId="182" fillId="18" borderId="49" xfId="0" applyNumberFormat="1" applyFont="1" applyFill="1" applyBorder="1" applyAlignment="1">
      <alignment horizontal="center"/>
    </xf>
    <xf numFmtId="49" fontId="182" fillId="18" borderId="50" xfId="0" applyNumberFormat="1" applyFont="1" applyFill="1" applyBorder="1" applyAlignment="1">
      <alignment horizontal="center"/>
    </xf>
    <xf numFmtId="3" fontId="147" fillId="8" borderId="34" xfId="0" applyNumberFormat="1" applyFont="1" applyFill="1" applyBorder="1"/>
    <xf numFmtId="0" fontId="147" fillId="0" borderId="19" xfId="0" quotePrefix="1"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3" fontId="147" fillId="0" borderId="20" xfId="0" applyNumberFormat="1" applyFont="1" applyBorder="1" applyAlignment="1">
      <alignment horizontal="center"/>
    </xf>
    <xf numFmtId="0" fontId="147" fillId="0" borderId="20" xfId="0" applyFont="1" applyBorder="1" applyAlignment="1">
      <alignment horizontal="center"/>
    </xf>
    <xf numFmtId="0" fontId="147" fillId="0" borderId="20" xfId="0" applyNumberFormat="1" applyFont="1" applyBorder="1" applyAlignment="1">
      <alignment horizontal="center"/>
    </xf>
    <xf numFmtId="49" fontId="147" fillId="0" borderId="20" xfId="0" applyNumberFormat="1" applyFont="1" applyFill="1" applyBorder="1" applyAlignment="1">
      <alignment horizontal="center"/>
    </xf>
    <xf numFmtId="0" fontId="147" fillId="0" borderId="47" xfId="0" applyNumberFormat="1" applyFont="1" applyFill="1" applyBorder="1" applyAlignment="1">
      <alignment horizontal="center" vertical="center"/>
    </xf>
    <xf numFmtId="3" fontId="147" fillId="8" borderId="11" xfId="0" applyNumberFormat="1" applyFont="1" applyFill="1" applyBorder="1"/>
    <xf numFmtId="0" fontId="147" fillId="0" borderId="48" xfId="0" quotePrefix="1" applyNumberFormat="1" applyFont="1" applyFill="1" applyBorder="1" applyAlignment="1">
      <alignment horizontal="center" vertical="center"/>
    </xf>
    <xf numFmtId="0" fontId="147" fillId="0" borderId="49" xfId="0" applyNumberFormat="1" applyFont="1" applyFill="1" applyBorder="1" applyAlignment="1">
      <alignment horizontal="center" vertical="center"/>
    </xf>
    <xf numFmtId="3" fontId="147" fillId="0" borderId="49" xfId="0" applyNumberFormat="1" applyFont="1" applyBorder="1" applyAlignment="1">
      <alignment horizontal="center"/>
    </xf>
    <xf numFmtId="0" fontId="147" fillId="0" borderId="49" xfId="0" applyFont="1" applyBorder="1" applyAlignment="1">
      <alignment horizontal="center"/>
    </xf>
    <xf numFmtId="0" fontId="147" fillId="0" borderId="49" xfId="0" applyNumberFormat="1" applyFont="1" applyBorder="1" applyAlignment="1">
      <alignment horizontal="center"/>
    </xf>
    <xf numFmtId="49" fontId="147" fillId="0" borderId="49" xfId="0" applyNumberFormat="1" applyFont="1" applyFill="1" applyBorder="1" applyAlignment="1">
      <alignment horizontal="center"/>
    </xf>
    <xf numFmtId="0" fontId="147" fillId="0" borderId="50" xfId="0" applyNumberFormat="1" applyFont="1" applyFill="1" applyBorder="1" applyAlignment="1">
      <alignment horizontal="center" vertical="center"/>
    </xf>
    <xf numFmtId="167" fontId="147" fillId="8" borderId="34" xfId="0" applyNumberFormat="1" applyFont="1" applyFill="1" applyBorder="1"/>
    <xf numFmtId="0" fontId="147" fillId="18" borderId="0" xfId="0" quotePrefix="1" applyNumberFormat="1" applyFont="1" applyFill="1" applyBorder="1" applyAlignment="1">
      <alignment horizontal="center" vertical="center"/>
    </xf>
    <xf numFmtId="0" fontId="147" fillId="18" borderId="0" xfId="0" applyNumberFormat="1" applyFont="1" applyFill="1" applyBorder="1" applyAlignment="1">
      <alignment horizontal="center" vertical="center"/>
    </xf>
    <xf numFmtId="3" fontId="147" fillId="18" borderId="0" xfId="0" applyNumberFormat="1" applyFont="1" applyFill="1" applyBorder="1" applyAlignment="1">
      <alignment horizontal="center"/>
    </xf>
    <xf numFmtId="0" fontId="147" fillId="18" borderId="0" xfId="0" applyFont="1" applyFill="1" applyBorder="1" applyAlignment="1">
      <alignment horizontal="center"/>
    </xf>
    <xf numFmtId="0" fontId="147" fillId="18" borderId="0" xfId="0" applyNumberFormat="1" applyFont="1" applyFill="1" applyBorder="1" applyAlignment="1">
      <alignment horizontal="center"/>
    </xf>
    <xf numFmtId="49" fontId="147" fillId="18" borderId="0" xfId="0" applyNumberFormat="1" applyFont="1" applyFill="1" applyBorder="1" applyAlignment="1">
      <alignment horizontal="center"/>
    </xf>
    <xf numFmtId="167" fontId="147" fillId="8" borderId="0" xfId="0" applyNumberFormat="1" applyFont="1" applyFill="1" applyBorder="1"/>
    <xf numFmtId="49" fontId="182" fillId="18" borderId="0" xfId="0" applyNumberFormat="1" applyFont="1" applyFill="1" applyBorder="1" applyAlignment="1"/>
    <xf numFmtId="0" fontId="182" fillId="18" borderId="0" xfId="0" applyFont="1" applyFill="1" applyBorder="1" applyAlignment="1">
      <alignment horizontal="center"/>
    </xf>
    <xf numFmtId="0" fontId="182" fillId="18" borderId="0" xfId="0" applyNumberFormat="1" applyFont="1" applyFill="1" applyBorder="1" applyAlignment="1">
      <alignment horizontal="center"/>
    </xf>
    <xf numFmtId="49" fontId="182" fillId="18" borderId="0" xfId="0" applyNumberFormat="1" applyFont="1" applyFill="1" applyBorder="1" applyAlignment="1">
      <alignment horizontal="center"/>
    </xf>
    <xf numFmtId="0" fontId="147" fillId="18" borderId="0" xfId="0" applyFont="1" applyFill="1"/>
    <xf numFmtId="0" fontId="182" fillId="18" borderId="36" xfId="0" applyFont="1" applyFill="1" applyBorder="1" applyAlignment="1">
      <alignment horizontal="center" vertical="center" wrapText="1"/>
    </xf>
    <xf numFmtId="0" fontId="182" fillId="18" borderId="37" xfId="0" applyFont="1" applyFill="1" applyBorder="1" applyAlignment="1">
      <alignment horizontal="center" vertical="center" wrapText="1"/>
    </xf>
    <xf numFmtId="49" fontId="182" fillId="18" borderId="37" xfId="0" applyNumberFormat="1" applyFont="1" applyFill="1" applyBorder="1" applyAlignment="1">
      <alignment horizontal="center" vertical="center" wrapText="1"/>
    </xf>
    <xf numFmtId="0" fontId="182" fillId="18" borderId="38" xfId="0" applyFont="1" applyFill="1" applyBorder="1" applyAlignment="1">
      <alignment horizontal="center" vertical="center" wrapText="1"/>
    </xf>
    <xf numFmtId="0" fontId="147" fillId="8" borderId="51" xfId="0" applyFont="1" applyFill="1" applyBorder="1" applyAlignment="1">
      <alignment horizontal="center" vertical="center" wrapText="1"/>
    </xf>
    <xf numFmtId="0" fontId="182" fillId="18" borderId="31" xfId="0" applyFont="1" applyFill="1" applyBorder="1" applyAlignment="1">
      <alignment horizontal="center" vertical="center" wrapText="1"/>
    </xf>
    <xf numFmtId="0" fontId="182" fillId="18" borderId="1" xfId="0" applyFont="1" applyFill="1" applyBorder="1" applyAlignment="1">
      <alignment horizontal="center" vertical="center" wrapText="1"/>
    </xf>
    <xf numFmtId="167" fontId="182" fillId="18" borderId="14" xfId="0" applyNumberFormat="1" applyFont="1" applyFill="1" applyBorder="1" applyAlignment="1">
      <alignment horizontal="center" vertical="center" wrapText="1"/>
    </xf>
    <xf numFmtId="167" fontId="147" fillId="8" borderId="16" xfId="0" applyNumberFormat="1" applyFont="1" applyFill="1" applyBorder="1" applyAlignment="1">
      <alignment horizontal="center" vertical="center" wrapText="1"/>
    </xf>
    <xf numFmtId="167" fontId="147" fillId="8" borderId="16" xfId="1" applyNumberFormat="1" applyFont="1" applyFill="1" applyBorder="1" applyAlignment="1">
      <alignment horizontal="center"/>
    </xf>
    <xf numFmtId="49" fontId="147" fillId="0" borderId="42" xfId="0" applyNumberFormat="1" applyFont="1" applyBorder="1" applyAlignment="1">
      <alignment horizontal="center"/>
    </xf>
    <xf numFmtId="49" fontId="147" fillId="0" borderId="8" xfId="0" applyNumberFormat="1" applyFont="1" applyBorder="1" applyAlignment="1">
      <alignment horizontal="center"/>
    </xf>
    <xf numFmtId="0" fontId="147" fillId="18" borderId="8" xfId="0" applyFont="1" applyFill="1" applyBorder="1" applyAlignment="1">
      <alignment horizontal="center"/>
    </xf>
    <xf numFmtId="0" fontId="147" fillId="0" borderId="8" xfId="0" applyNumberFormat="1" applyFont="1" applyBorder="1" applyAlignment="1">
      <alignment horizontal="center"/>
    </xf>
    <xf numFmtId="49" fontId="147" fillId="0" borderId="17" xfId="0" applyNumberFormat="1" applyFont="1" applyBorder="1" applyAlignment="1">
      <alignment horizontal="center"/>
    </xf>
    <xf numFmtId="0" fontId="147" fillId="18" borderId="3" xfId="0" applyFont="1" applyFill="1" applyBorder="1" applyAlignment="1">
      <alignment horizontal="center"/>
    </xf>
    <xf numFmtId="0" fontId="182" fillId="0" borderId="26" xfId="0" applyFont="1" applyBorder="1" applyAlignment="1">
      <alignment horizontal="center" vertical="center" wrapText="1"/>
    </xf>
    <xf numFmtId="0" fontId="182" fillId="0" borderId="27" xfId="0" applyFont="1" applyBorder="1" applyAlignment="1">
      <alignment horizontal="center" vertical="center" wrapText="1"/>
    </xf>
    <xf numFmtId="49" fontId="182" fillId="0" borderId="27" xfId="0" applyNumberFormat="1" applyFont="1" applyBorder="1" applyAlignment="1">
      <alignment horizontal="center" vertical="center" wrapText="1"/>
    </xf>
    <xf numFmtId="49" fontId="182" fillId="0" borderId="50" xfId="0" applyNumberFormat="1" applyFont="1" applyBorder="1" applyAlignment="1">
      <alignment horizontal="center" vertical="center" wrapText="1"/>
    </xf>
    <xf numFmtId="167" fontId="147" fillId="8" borderId="34" xfId="1" applyNumberFormat="1" applyFont="1" applyFill="1" applyBorder="1" applyAlignment="1">
      <alignment horizontal="center" vertical="center" wrapText="1"/>
    </xf>
    <xf numFmtId="49" fontId="147" fillId="0" borderId="19" xfId="0" applyNumberFormat="1" applyFont="1" applyBorder="1" applyAlignment="1">
      <alignment horizontal="center"/>
    </xf>
    <xf numFmtId="3" fontId="147" fillId="0" borderId="61" xfId="0" applyNumberFormat="1" applyFont="1" applyBorder="1" applyAlignment="1">
      <alignment horizontal="center"/>
    </xf>
    <xf numFmtId="0" fontId="182" fillId="0" borderId="12" xfId="0" applyNumberFormat="1" applyFont="1" applyFill="1" applyBorder="1" applyAlignment="1">
      <alignment horizontal="center" vertical="center"/>
    </xf>
    <xf numFmtId="167" fontId="147" fillId="8" borderId="11" xfId="1" applyNumberFormat="1" applyFont="1" applyFill="1" applyBorder="1" applyAlignment="1">
      <alignment horizontal="center"/>
    </xf>
    <xf numFmtId="0" fontId="182" fillId="8" borderId="33" xfId="0" applyFont="1" applyFill="1" applyBorder="1" applyAlignment="1">
      <alignment horizontal="center" vertical="center" wrapText="1"/>
    </xf>
    <xf numFmtId="3" fontId="184" fillId="8" borderId="33" xfId="0" applyNumberFormat="1" applyFont="1" applyFill="1" applyBorder="1" applyAlignment="1">
      <alignment horizontal="center" vertical="center" wrapText="1"/>
    </xf>
    <xf numFmtId="167" fontId="185" fillId="0" borderId="51" xfId="1" applyNumberFormat="1" applyFont="1" applyFill="1" applyBorder="1" applyAlignment="1">
      <alignment horizontal="left"/>
    </xf>
    <xf numFmtId="167" fontId="185" fillId="0" borderId="16" xfId="1" applyNumberFormat="1" applyFont="1" applyFill="1" applyBorder="1" applyAlignment="1">
      <alignment horizontal="left"/>
    </xf>
    <xf numFmtId="167" fontId="185" fillId="0" borderId="16" xfId="1" applyNumberFormat="1" applyFont="1" applyFill="1" applyBorder="1" applyAlignment="1">
      <alignment horizontal="center"/>
    </xf>
    <xf numFmtId="167" fontId="185" fillId="0" borderId="15" xfId="1" applyNumberFormat="1" applyFont="1" applyFill="1" applyBorder="1" applyAlignment="1">
      <alignment horizontal="left"/>
    </xf>
    <xf numFmtId="3" fontId="185" fillId="0" borderId="16" xfId="0" applyNumberFormat="1" applyFont="1" applyFill="1" applyBorder="1"/>
    <xf numFmtId="0" fontId="147" fillId="0" borderId="8" xfId="0" applyFont="1" applyBorder="1" applyAlignment="1">
      <alignment horizontal="center"/>
    </xf>
    <xf numFmtId="49" fontId="147" fillId="0" borderId="8" xfId="0" applyNumberFormat="1" applyFont="1" applyFill="1" applyBorder="1" applyAlignment="1">
      <alignment horizontal="center"/>
    </xf>
    <xf numFmtId="3" fontId="185" fillId="0" borderId="54" xfId="0" applyNumberFormat="1" applyFont="1" applyFill="1" applyBorder="1"/>
    <xf numFmtId="3" fontId="182" fillId="8" borderId="33" xfId="0" applyNumberFormat="1" applyFont="1" applyFill="1" applyBorder="1"/>
    <xf numFmtId="0" fontId="147" fillId="0" borderId="36" xfId="0" quotePrefix="1" applyNumberFormat="1" applyFont="1" applyFill="1" applyBorder="1" applyAlignment="1">
      <alignment horizontal="center" vertical="center"/>
    </xf>
    <xf numFmtId="0" fontId="147" fillId="0" borderId="37" xfId="0" applyNumberFormat="1" applyFont="1" applyFill="1" applyBorder="1" applyAlignment="1">
      <alignment horizontal="center" vertical="center"/>
    </xf>
    <xf numFmtId="3" fontId="147" fillId="0" borderId="37" xfId="0" applyNumberFormat="1" applyFont="1" applyBorder="1" applyAlignment="1">
      <alignment horizontal="center"/>
    </xf>
    <xf numFmtId="0" fontId="147" fillId="0" borderId="37" xfId="0" applyFont="1" applyBorder="1" applyAlignment="1">
      <alignment horizontal="center"/>
    </xf>
    <xf numFmtId="0" fontId="147" fillId="0" borderId="39" xfId="0" applyNumberFormat="1" applyFont="1" applyFill="1" applyBorder="1" applyAlignment="1">
      <alignment horizontal="center" vertical="center"/>
    </xf>
    <xf numFmtId="3" fontId="182" fillId="8" borderId="16" xfId="0" applyNumberFormat="1" applyFont="1" applyFill="1" applyBorder="1"/>
    <xf numFmtId="0" fontId="147" fillId="0" borderId="31" xfId="0" quotePrefix="1" applyNumberFormat="1" applyFont="1" applyFill="1" applyBorder="1" applyAlignment="1">
      <alignment horizontal="center" vertical="center"/>
    </xf>
    <xf numFmtId="0" fontId="147" fillId="0" borderId="1" xfId="0" applyNumberFormat="1" applyFont="1" applyFill="1" applyBorder="1" applyAlignment="1">
      <alignment horizontal="center" vertical="center"/>
    </xf>
    <xf numFmtId="3" fontId="147" fillId="0" borderId="1" xfId="0" applyNumberFormat="1" applyFont="1" applyBorder="1" applyAlignment="1">
      <alignment horizontal="center"/>
    </xf>
    <xf numFmtId="0" fontId="147" fillId="0" borderId="1" xfId="0" applyFont="1" applyBorder="1" applyAlignment="1">
      <alignment horizontal="center"/>
    </xf>
    <xf numFmtId="0" fontId="147" fillId="0" borderId="2" xfId="0" applyNumberFormat="1" applyFont="1" applyFill="1" applyBorder="1" applyAlignment="1">
      <alignment horizontal="center" vertical="center"/>
    </xf>
    <xf numFmtId="167" fontId="182" fillId="8" borderId="16" xfId="0" applyNumberFormat="1" applyFont="1" applyFill="1" applyBorder="1"/>
    <xf numFmtId="49" fontId="147" fillId="0" borderId="32" xfId="0" applyNumberFormat="1" applyFont="1" applyFill="1" applyBorder="1" applyAlignment="1">
      <alignment horizontal="center"/>
    </xf>
    <xf numFmtId="49" fontId="147" fillId="0" borderId="4" xfId="0" applyNumberFormat="1" applyFont="1" applyFill="1" applyBorder="1" applyAlignment="1">
      <alignment horizontal="center"/>
    </xf>
    <xf numFmtId="167" fontId="185" fillId="0" borderId="54" xfId="1" applyNumberFormat="1" applyFont="1" applyFill="1" applyBorder="1" applyAlignment="1">
      <alignment horizontal="left"/>
    </xf>
    <xf numFmtId="167" fontId="182" fillId="8" borderId="0" xfId="0" applyNumberFormat="1" applyFont="1" applyFill="1" applyBorder="1"/>
    <xf numFmtId="0" fontId="182" fillId="18" borderId="66" xfId="0" applyFont="1" applyFill="1" applyBorder="1" applyAlignment="1">
      <alignment horizontal="center" vertical="center" wrapText="1"/>
    </xf>
    <xf numFmtId="0" fontId="182" fillId="18" borderId="63" xfId="0" applyFont="1" applyFill="1" applyBorder="1" applyAlignment="1">
      <alignment horizontal="center" vertical="center" wrapText="1"/>
    </xf>
    <xf numFmtId="49" fontId="182" fillId="18" borderId="63" xfId="0" applyNumberFormat="1" applyFont="1" applyFill="1" applyBorder="1" applyAlignment="1">
      <alignment horizontal="center" vertical="center" wrapText="1"/>
    </xf>
    <xf numFmtId="0" fontId="182" fillId="18" borderId="72" xfId="0" applyFont="1" applyFill="1" applyBorder="1" applyAlignment="1">
      <alignment horizontal="center" vertical="center" wrapText="1"/>
    </xf>
    <xf numFmtId="167" fontId="182" fillId="8" borderId="11" xfId="0" applyNumberFormat="1" applyFont="1" applyFill="1" applyBorder="1" applyAlignment="1">
      <alignment horizontal="center" vertical="center" wrapText="1"/>
    </xf>
    <xf numFmtId="49" fontId="147" fillId="0" borderId="66" xfId="0" applyNumberFormat="1" applyFont="1" applyBorder="1" applyAlignment="1">
      <alignment horizontal="center"/>
    </xf>
    <xf numFmtId="49" fontId="147" fillId="0" borderId="39" xfId="0" applyNumberFormat="1" applyFont="1" applyBorder="1" applyAlignment="1">
      <alignment horizontal="center"/>
    </xf>
    <xf numFmtId="167" fontId="182" fillId="8" borderId="44" xfId="1" applyNumberFormat="1" applyFont="1" applyFill="1" applyBorder="1" applyAlignment="1">
      <alignment horizontal="center"/>
    </xf>
    <xf numFmtId="49" fontId="147" fillId="0" borderId="2" xfId="0" applyNumberFormat="1" applyFont="1" applyBorder="1" applyAlignment="1">
      <alignment horizontal="center"/>
    </xf>
    <xf numFmtId="49" fontId="147" fillId="0" borderId="2" xfId="0" quotePrefix="1" applyNumberFormat="1" applyFont="1" applyBorder="1" applyAlignment="1">
      <alignment horizontal="center"/>
    </xf>
    <xf numFmtId="49" fontId="147" fillId="0" borderId="2" xfId="0" applyNumberFormat="1" applyFont="1" applyFill="1" applyBorder="1" applyAlignment="1">
      <alignment horizontal="center"/>
    </xf>
    <xf numFmtId="49" fontId="147" fillId="0" borderId="74" xfId="0" applyNumberFormat="1" applyFont="1" applyBorder="1" applyAlignment="1">
      <alignment horizontal="center"/>
    </xf>
    <xf numFmtId="167" fontId="182" fillId="8" borderId="25" xfId="1" applyNumberFormat="1" applyFont="1" applyFill="1" applyBorder="1" applyAlignment="1">
      <alignment horizontal="center"/>
    </xf>
    <xf numFmtId="167" fontId="182" fillId="8" borderId="11" xfId="1" applyNumberFormat="1" applyFont="1" applyFill="1" applyBorder="1" applyAlignment="1">
      <alignment horizontal="center" vertical="center" wrapText="1"/>
    </xf>
    <xf numFmtId="49" fontId="147" fillId="0" borderId="48" xfId="0" applyNumberFormat="1" applyFont="1" applyBorder="1" applyAlignment="1">
      <alignment horizontal="center"/>
    </xf>
    <xf numFmtId="3" fontId="147" fillId="0" borderId="62" xfId="0" applyNumberFormat="1" applyFont="1" applyBorder="1" applyAlignment="1">
      <alignment horizontal="center"/>
    </xf>
    <xf numFmtId="0" fontId="147" fillId="0" borderId="26" xfId="0" applyNumberFormat="1" applyFont="1" applyFill="1" applyBorder="1" applyAlignment="1">
      <alignment horizontal="center" vertical="center"/>
    </xf>
    <xf numFmtId="167" fontId="182" fillId="8" borderId="11" xfId="1" applyNumberFormat="1" applyFont="1" applyFill="1" applyBorder="1" applyAlignment="1">
      <alignment horizontal="center"/>
    </xf>
    <xf numFmtId="167" fontId="186" fillId="22" borderId="1" xfId="3" applyNumberFormat="1" applyFont="1" applyFill="1" applyBorder="1" applyAlignment="1">
      <alignment horizontal="center" vertical="center" textRotation="90" wrapText="1"/>
    </xf>
    <xf numFmtId="167" fontId="187" fillId="18" borderId="1" xfId="3" applyNumberFormat="1" applyFont="1" applyFill="1" applyBorder="1" applyAlignment="1">
      <alignment horizontal="center" vertical="center" wrapText="1"/>
    </xf>
    <xf numFmtId="167" fontId="188" fillId="0" borderId="1" xfId="3" applyNumberFormat="1" applyFont="1" applyFill="1" applyBorder="1" applyAlignment="1"/>
    <xf numFmtId="168" fontId="0" fillId="0" borderId="1" xfId="3" applyNumberFormat="1" applyFont="1" applyBorder="1"/>
    <xf numFmtId="171" fontId="0" fillId="0" borderId="1" xfId="3" applyNumberFormat="1" applyFont="1" applyBorder="1"/>
    <xf numFmtId="167" fontId="188" fillId="0" borderId="1" xfId="3" applyNumberFormat="1" applyFont="1" applyBorder="1"/>
    <xf numFmtId="167" fontId="189" fillId="0" borderId="1" xfId="3" applyNumberFormat="1" applyFont="1" applyFill="1" applyBorder="1" applyAlignment="1"/>
    <xf numFmtId="167" fontId="188" fillId="0" borderId="1" xfId="3" applyNumberFormat="1" applyFont="1" applyFill="1" applyBorder="1" applyAlignment="1">
      <alignment horizontal="right"/>
    </xf>
    <xf numFmtId="167" fontId="188" fillId="0" borderId="1" xfId="3" applyNumberFormat="1" applyFont="1" applyFill="1" applyBorder="1" applyAlignment="1">
      <alignment vertical="center"/>
    </xf>
    <xf numFmtId="3" fontId="192" fillId="8" borderId="0" xfId="0" applyNumberFormat="1" applyFont="1" applyFill="1" applyBorder="1" applyAlignment="1" applyProtection="1">
      <alignment horizontal="center"/>
      <protection locked="0"/>
    </xf>
    <xf numFmtId="3" fontId="193" fillId="8" borderId="0" xfId="0" applyNumberFormat="1" applyFont="1" applyFill="1" applyBorder="1" applyAlignment="1" applyProtection="1">
      <alignment horizontal="center"/>
      <protection locked="0"/>
    </xf>
    <xf numFmtId="3" fontId="193" fillId="8" borderId="0" xfId="4" applyNumberFormat="1" applyFont="1" applyFill="1" applyBorder="1" applyAlignment="1" applyProtection="1">
      <alignment horizontal="center"/>
      <protection locked="0"/>
    </xf>
    <xf numFmtId="0" fontId="194" fillId="8" borderId="0" xfId="4" applyFont="1" applyFill="1" applyBorder="1" applyAlignment="1">
      <alignment horizontal="center"/>
    </xf>
    <xf numFmtId="3" fontId="193" fillId="8" borderId="0" xfId="1" applyNumberFormat="1" applyFont="1" applyFill="1" applyBorder="1" applyAlignment="1">
      <alignment horizontal="center"/>
    </xf>
    <xf numFmtId="3" fontId="193" fillId="8" borderId="0" xfId="5" applyNumberFormat="1" applyFont="1" applyFill="1" applyBorder="1" applyAlignment="1">
      <alignment horizontal="center"/>
    </xf>
    <xf numFmtId="3" fontId="192" fillId="8" borderId="0" xfId="4" applyNumberFormat="1" applyFont="1" applyFill="1" applyBorder="1" applyAlignment="1" applyProtection="1">
      <alignment horizontal="center"/>
      <protection locked="0"/>
    </xf>
    <xf numFmtId="0" fontId="195" fillId="8" borderId="0" xfId="4" applyFont="1" applyFill="1" applyBorder="1" applyAlignment="1">
      <alignment horizontal="center"/>
    </xf>
    <xf numFmtId="3" fontId="192" fillId="8" borderId="0" xfId="5" applyNumberFormat="1" applyFont="1" applyFill="1" applyBorder="1" applyAlignment="1">
      <alignment horizontal="center"/>
    </xf>
    <xf numFmtId="3" fontId="189" fillId="8" borderId="0" xfId="4" applyNumberFormat="1" applyFont="1" applyFill="1" applyBorder="1" applyAlignment="1">
      <alignment horizontal="center" vertical="center"/>
    </xf>
    <xf numFmtId="3" fontId="191" fillId="8" borderId="0" xfId="5" applyNumberFormat="1" applyFont="1" applyFill="1" applyBorder="1" applyAlignment="1">
      <alignment horizontal="center" vertical="center"/>
    </xf>
    <xf numFmtId="3" fontId="191" fillId="8" borderId="0" xfId="5" applyNumberFormat="1" applyFont="1" applyFill="1" applyBorder="1" applyAlignment="1">
      <alignment horizontal="center"/>
    </xf>
    <xf numFmtId="167" fontId="193" fillId="8" borderId="11" xfId="1" applyNumberFormat="1" applyFont="1" applyFill="1" applyBorder="1" applyAlignment="1">
      <alignment horizontal="center"/>
    </xf>
    <xf numFmtId="167" fontId="192" fillId="8" borderId="30" xfId="1" applyNumberFormat="1" applyFont="1" applyFill="1" applyBorder="1" applyAlignment="1">
      <alignment horizontal="center"/>
    </xf>
    <xf numFmtId="167" fontId="196" fillId="8" borderId="11" xfId="1" applyNumberFormat="1" applyFont="1" applyFill="1" applyBorder="1" applyAlignment="1">
      <alignment horizontal="center"/>
    </xf>
    <xf numFmtId="167" fontId="193" fillId="23" borderId="11" xfId="1" applyNumberFormat="1" applyFont="1" applyFill="1" applyBorder="1" applyAlignment="1">
      <alignment horizontal="center" vertical="center" wrapText="1"/>
    </xf>
    <xf numFmtId="167" fontId="192" fillId="23" borderId="30" xfId="1" applyNumberFormat="1" applyFont="1" applyFill="1" applyBorder="1" applyAlignment="1">
      <alignment horizontal="center" vertical="center" wrapText="1"/>
    </xf>
    <xf numFmtId="167" fontId="196" fillId="23" borderId="11" xfId="1" applyNumberFormat="1" applyFont="1" applyFill="1" applyBorder="1" applyAlignment="1">
      <alignment horizontal="center" vertical="center" wrapText="1"/>
    </xf>
    <xf numFmtId="167" fontId="193" fillId="8" borderId="27" xfId="1" applyNumberFormat="1" applyFont="1" applyFill="1" applyBorder="1" applyAlignment="1">
      <alignment horizontal="center" vertical="center" wrapText="1"/>
    </xf>
    <xf numFmtId="167" fontId="193" fillId="8" borderId="11" xfId="1" applyNumberFormat="1" applyFont="1" applyFill="1" applyBorder="1" applyAlignment="1">
      <alignment horizontal="center" vertical="center" wrapText="1"/>
    </xf>
    <xf numFmtId="167" fontId="193" fillId="8" borderId="12" xfId="1" applyNumberFormat="1" applyFont="1" applyFill="1" applyBorder="1" applyAlignment="1">
      <alignment horizontal="center" vertical="center" wrapText="1"/>
    </xf>
    <xf numFmtId="167" fontId="193" fillId="8" borderId="34" xfId="1" applyNumberFormat="1" applyFont="1" applyFill="1" applyBorder="1" applyAlignment="1">
      <alignment horizontal="center" vertical="center" wrapText="1"/>
    </xf>
    <xf numFmtId="167" fontId="192" fillId="8" borderId="26" xfId="1" applyNumberFormat="1" applyFont="1" applyFill="1" applyBorder="1" applyAlignment="1">
      <alignment horizontal="center" vertical="center" wrapText="1"/>
    </xf>
    <xf numFmtId="167" fontId="192" fillId="8" borderId="11" xfId="1" applyNumberFormat="1" applyFont="1" applyFill="1" applyBorder="1" applyAlignment="1">
      <alignment horizontal="center" vertical="center" wrapText="1"/>
    </xf>
    <xf numFmtId="167" fontId="192" fillId="8" borderId="27" xfId="1" applyNumberFormat="1" applyFont="1" applyFill="1" applyBorder="1" applyAlignment="1">
      <alignment horizontal="center" vertical="center" wrapText="1"/>
    </xf>
    <xf numFmtId="167" fontId="191" fillId="8" borderId="11" xfId="1" applyNumberFormat="1" applyFont="1" applyFill="1" applyBorder="1" applyAlignment="1">
      <alignment horizontal="center" vertical="center" wrapText="1"/>
    </xf>
    <xf numFmtId="167" fontId="191" fillId="8" borderId="30" xfId="1" applyNumberFormat="1" applyFont="1" applyFill="1" applyBorder="1" applyAlignment="1">
      <alignment horizontal="center" vertical="center" wrapText="1"/>
    </xf>
    <xf numFmtId="167" fontId="191" fillId="8" borderId="12" xfId="1" applyNumberFormat="1" applyFont="1" applyFill="1" applyBorder="1" applyAlignment="1">
      <alignment horizontal="center" vertical="center" wrapText="1"/>
    </xf>
    <xf numFmtId="167" fontId="191" fillId="8" borderId="13" xfId="1" applyNumberFormat="1" applyFont="1" applyFill="1" applyBorder="1" applyAlignment="1">
      <alignment horizontal="center" vertical="center" wrapText="1"/>
    </xf>
    <xf numFmtId="167" fontId="191" fillId="8" borderId="33" xfId="1" applyNumberFormat="1" applyFont="1" applyFill="1" applyBorder="1" applyAlignment="1">
      <alignment horizontal="center" vertical="center" wrapText="1"/>
    </xf>
    <xf numFmtId="167" fontId="197" fillId="0" borderId="15" xfId="1" applyNumberFormat="1" applyFont="1" applyFill="1" applyBorder="1" applyAlignment="1">
      <alignment horizontal="center"/>
    </xf>
    <xf numFmtId="167" fontId="189" fillId="0" borderId="5" xfId="1" applyNumberFormat="1" applyFont="1" applyFill="1" applyBorder="1"/>
    <xf numFmtId="167" fontId="194" fillId="0" borderId="16" xfId="1" applyNumberFormat="1" applyFont="1" applyFill="1" applyBorder="1" applyAlignment="1" applyProtection="1">
      <alignment horizontal="center"/>
      <protection hidden="1"/>
    </xf>
    <xf numFmtId="167" fontId="195" fillId="0" borderId="5" xfId="1" applyNumberFormat="1" applyFont="1" applyFill="1" applyBorder="1" applyAlignment="1" applyProtection="1">
      <alignment horizontal="center"/>
      <protection hidden="1"/>
    </xf>
    <xf numFmtId="167" fontId="198" fillId="0" borderId="15" xfId="1" applyNumberFormat="1" applyFont="1" applyFill="1" applyBorder="1" applyAlignment="1" applyProtection="1">
      <alignment horizontal="center"/>
      <protection hidden="1"/>
    </xf>
    <xf numFmtId="167" fontId="188" fillId="0" borderId="5" xfId="1" applyNumberFormat="1" applyFont="1" applyFill="1" applyBorder="1" applyAlignment="1">
      <alignment horizontal="center"/>
    </xf>
    <xf numFmtId="167" fontId="188" fillId="0" borderId="15" xfId="1" applyNumberFormat="1" applyFont="1" applyFill="1" applyBorder="1" applyAlignment="1">
      <alignment horizontal="center"/>
    </xf>
    <xf numFmtId="167" fontId="194" fillId="0" borderId="15" xfId="1" applyNumberFormat="1" applyFont="1" applyFill="1" applyBorder="1" applyAlignment="1">
      <alignment horizontal="center"/>
    </xf>
    <xf numFmtId="167" fontId="199" fillId="0" borderId="51" xfId="1" applyNumberFormat="1" applyFont="1" applyFill="1" applyBorder="1" applyAlignment="1">
      <alignment horizontal="center" vertical="center"/>
    </xf>
    <xf numFmtId="167" fontId="199" fillId="0" borderId="59" xfId="1" applyNumberFormat="1" applyFont="1" applyFill="1" applyBorder="1" applyAlignment="1">
      <alignment horizontal="center" vertical="center"/>
    </xf>
    <xf numFmtId="167" fontId="188" fillId="0" borderId="51" xfId="1" applyNumberFormat="1" applyFont="1" applyFill="1" applyBorder="1" applyAlignment="1">
      <alignment horizontal="center"/>
    </xf>
    <xf numFmtId="167" fontId="194" fillId="0" borderId="51" xfId="1" applyNumberFormat="1" applyFont="1" applyFill="1" applyBorder="1" applyAlignment="1">
      <alignment horizontal="center"/>
    </xf>
    <xf numFmtId="167" fontId="199" fillId="0" borderId="114" xfId="1" applyNumberFormat="1" applyFont="1" applyFill="1" applyBorder="1" applyAlignment="1">
      <alignment horizontal="center" vertical="center"/>
    </xf>
    <xf numFmtId="167" fontId="189" fillId="0" borderId="56" xfId="1" applyNumberFormat="1" applyFont="1" applyFill="1" applyBorder="1" applyAlignment="1">
      <alignment horizontal="center"/>
    </xf>
    <xf numFmtId="167" fontId="188" fillId="0" borderId="44" xfId="1" applyNumberFormat="1" applyFont="1" applyFill="1" applyBorder="1" applyAlignment="1">
      <alignment horizontal="center"/>
    </xf>
    <xf numFmtId="167" fontId="199" fillId="0" borderId="44" xfId="1" applyNumberFormat="1" applyFont="1" applyFill="1" applyBorder="1" applyAlignment="1">
      <alignment horizontal="center" vertical="center"/>
    </xf>
    <xf numFmtId="167" fontId="199" fillId="0" borderId="15" xfId="1" applyNumberFormat="1" applyFont="1" applyFill="1" applyBorder="1" applyAlignment="1">
      <alignment horizontal="center" vertical="center"/>
    </xf>
    <xf numFmtId="167" fontId="197" fillId="0" borderId="16" xfId="1" applyNumberFormat="1" applyFont="1" applyFill="1" applyBorder="1" applyAlignment="1">
      <alignment horizontal="center"/>
    </xf>
    <xf numFmtId="167" fontId="189" fillId="0" borderId="41" xfId="1" applyNumberFormat="1" applyFont="1" applyFill="1" applyBorder="1"/>
    <xf numFmtId="167" fontId="195" fillId="0" borderId="41" xfId="1" applyNumberFormat="1" applyFont="1" applyFill="1" applyBorder="1" applyAlignment="1" applyProtection="1">
      <alignment horizontal="center"/>
      <protection hidden="1"/>
    </xf>
    <xf numFmtId="167" fontId="188" fillId="0" borderId="41" xfId="1" applyNumberFormat="1" applyFont="1" applyFill="1" applyBorder="1" applyAlignment="1">
      <alignment horizontal="center"/>
    </xf>
    <xf numFmtId="167" fontId="188" fillId="0" borderId="16" xfId="1" applyNumberFormat="1" applyFont="1" applyFill="1" applyBorder="1" applyAlignment="1">
      <alignment horizontal="center"/>
    </xf>
    <xf numFmtId="167" fontId="199" fillId="0" borderId="16" xfId="1" applyNumberFormat="1" applyFont="1" applyFill="1" applyBorder="1" applyAlignment="1">
      <alignment horizontal="center" vertical="center"/>
    </xf>
    <xf numFmtId="167" fontId="199" fillId="0" borderId="57" xfId="1" applyNumberFormat="1" applyFont="1" applyFill="1" applyBorder="1" applyAlignment="1">
      <alignment horizontal="center" vertical="center"/>
    </xf>
    <xf numFmtId="167" fontId="194" fillId="0" borderId="16" xfId="1" applyNumberFormat="1" applyFont="1" applyFill="1" applyBorder="1" applyAlignment="1">
      <alignment horizontal="center"/>
    </xf>
    <xf numFmtId="167" fontId="199" fillId="0" borderId="41" xfId="1" applyNumberFormat="1" applyFont="1" applyFill="1" applyBorder="1" applyAlignment="1">
      <alignment horizontal="center" vertical="center"/>
    </xf>
    <xf numFmtId="167" fontId="189" fillId="0" borderId="57" xfId="1" applyNumberFormat="1" applyFont="1" applyFill="1" applyBorder="1" applyAlignment="1">
      <alignment horizontal="center"/>
    </xf>
    <xf numFmtId="167" fontId="188" fillId="0" borderId="45" xfId="1" applyNumberFormat="1" applyFont="1" applyFill="1" applyBorder="1" applyAlignment="1">
      <alignment horizontal="center"/>
    </xf>
    <xf numFmtId="167" fontId="199" fillId="0" borderId="45" xfId="1" applyNumberFormat="1" applyFont="1" applyFill="1" applyBorder="1" applyAlignment="1">
      <alignment horizontal="center" vertical="center"/>
    </xf>
    <xf numFmtId="167" fontId="189" fillId="0" borderId="41" xfId="1" applyNumberFormat="1" applyFont="1" applyFill="1" applyBorder="1" applyAlignment="1">
      <alignment horizontal="center"/>
    </xf>
    <xf numFmtId="167" fontId="189" fillId="0" borderId="16" xfId="1" applyNumberFormat="1" applyFont="1" applyFill="1" applyBorder="1" applyAlignment="1">
      <alignment horizontal="center"/>
    </xf>
    <xf numFmtId="167" fontId="189" fillId="0" borderId="45" xfId="1" applyNumberFormat="1" applyFont="1" applyFill="1" applyBorder="1" applyAlignment="1">
      <alignment horizontal="center"/>
    </xf>
    <xf numFmtId="167" fontId="189" fillId="0" borderId="0" xfId="1" applyNumberFormat="1" applyFont="1" applyFill="1" applyBorder="1"/>
    <xf numFmtId="167" fontId="197" fillId="0" borderId="45" xfId="1" applyNumberFormat="1" applyFont="1" applyFill="1" applyBorder="1" applyAlignment="1">
      <alignment horizontal="center"/>
    </xf>
    <xf numFmtId="167" fontId="189" fillId="0" borderId="43" xfId="1" applyNumberFormat="1" applyFont="1" applyFill="1" applyBorder="1"/>
    <xf numFmtId="167" fontId="195" fillId="0" borderId="43" xfId="1" applyNumberFormat="1" applyFont="1" applyFill="1" applyBorder="1" applyAlignment="1" applyProtection="1">
      <alignment horizontal="center"/>
      <protection hidden="1"/>
    </xf>
    <xf numFmtId="167" fontId="188" fillId="0" borderId="43" xfId="1" applyNumberFormat="1" applyFont="1" applyFill="1" applyBorder="1" applyAlignment="1">
      <alignment horizontal="center"/>
    </xf>
    <xf numFmtId="167" fontId="188" fillId="0" borderId="18" xfId="1" applyNumberFormat="1" applyFont="1" applyFill="1" applyBorder="1" applyAlignment="1">
      <alignment horizontal="center"/>
    </xf>
    <xf numFmtId="167" fontId="194" fillId="0" borderId="18" xfId="1" applyNumberFormat="1" applyFont="1" applyFill="1" applyBorder="1" applyAlignment="1">
      <alignment horizontal="center"/>
    </xf>
    <xf numFmtId="167" fontId="199" fillId="0" borderId="54" xfId="1" applyNumberFormat="1" applyFont="1" applyFill="1" applyBorder="1" applyAlignment="1">
      <alignment horizontal="center" vertical="center"/>
    </xf>
    <xf numFmtId="167" fontId="199" fillId="0" borderId="64" xfId="1" applyNumberFormat="1" applyFont="1" applyFill="1" applyBorder="1" applyAlignment="1">
      <alignment horizontal="center" vertical="center"/>
    </xf>
    <xf numFmtId="167" fontId="199" fillId="0" borderId="43" xfId="1" applyNumberFormat="1" applyFont="1" applyFill="1" applyBorder="1" applyAlignment="1">
      <alignment horizontal="center" vertical="center"/>
    </xf>
    <xf numFmtId="167" fontId="189" fillId="0" borderId="58" xfId="1" applyNumberFormat="1" applyFont="1" applyFill="1" applyBorder="1" applyAlignment="1">
      <alignment horizontal="center"/>
    </xf>
    <xf numFmtId="167" fontId="197" fillId="0" borderId="18" xfId="1" applyNumberFormat="1" applyFont="1" applyFill="1" applyBorder="1" applyAlignment="1">
      <alignment horizontal="center"/>
    </xf>
    <xf numFmtId="167" fontId="197" fillId="0" borderId="46" xfId="1" applyNumberFormat="1" applyFont="1" applyFill="1" applyBorder="1" applyAlignment="1">
      <alignment horizontal="center"/>
    </xf>
    <xf numFmtId="167" fontId="199" fillId="0" borderId="46" xfId="1" applyNumberFormat="1" applyFont="1" applyFill="1" applyBorder="1" applyAlignment="1">
      <alignment horizontal="center" vertical="center"/>
    </xf>
    <xf numFmtId="167" fontId="199" fillId="0" borderId="18" xfId="1" applyNumberFormat="1" applyFont="1" applyFill="1" applyBorder="1" applyAlignment="1">
      <alignment horizontal="center" vertical="center"/>
    </xf>
    <xf numFmtId="167" fontId="197" fillId="0" borderId="11" xfId="1" applyNumberFormat="1" applyFont="1" applyFill="1" applyBorder="1" applyAlignment="1">
      <alignment horizontal="center"/>
    </xf>
    <xf numFmtId="167" fontId="189" fillId="0" borderId="30" xfId="1" applyNumberFormat="1" applyFont="1" applyFill="1" applyBorder="1" applyAlignment="1">
      <alignment horizontal="center"/>
    </xf>
    <xf numFmtId="167" fontId="194" fillId="0" borderId="11" xfId="1" applyNumberFormat="1" applyFont="1" applyFill="1" applyBorder="1" applyAlignment="1" applyProtection="1">
      <alignment horizontal="center"/>
      <protection hidden="1"/>
    </xf>
    <xf numFmtId="167" fontId="194" fillId="0" borderId="15" xfId="1" applyNumberFormat="1" applyFont="1" applyFill="1" applyBorder="1" applyAlignment="1" applyProtection="1">
      <alignment horizontal="center"/>
      <protection hidden="1"/>
    </xf>
    <xf numFmtId="167" fontId="188" fillId="0" borderId="56" xfId="1" applyNumberFormat="1" applyFont="1" applyFill="1" applyBorder="1" applyAlignment="1">
      <alignment horizontal="center"/>
    </xf>
    <xf numFmtId="167" fontId="199" fillId="0" borderId="56" xfId="1" applyNumberFormat="1" applyFont="1" applyFill="1" applyBorder="1" applyAlignment="1">
      <alignment horizontal="center" vertical="center"/>
    </xf>
    <xf numFmtId="167" fontId="188" fillId="0" borderId="57" xfId="1" applyNumberFormat="1" applyFont="1" applyFill="1" applyBorder="1" applyAlignment="1">
      <alignment horizontal="center"/>
    </xf>
    <xf numFmtId="167" fontId="189" fillId="0" borderId="15" xfId="1" applyNumberFormat="1" applyFont="1" applyFill="1" applyBorder="1" applyAlignment="1">
      <alignment horizontal="center"/>
    </xf>
    <xf numFmtId="167" fontId="188" fillId="0" borderId="58" xfId="1" applyNumberFormat="1" applyFont="1" applyFill="1" applyBorder="1" applyAlignment="1">
      <alignment horizontal="center"/>
    </xf>
    <xf numFmtId="167" fontId="194" fillId="0" borderId="35" xfId="1" applyNumberFormat="1" applyFont="1" applyFill="1" applyBorder="1" applyAlignment="1">
      <alignment horizontal="center"/>
    </xf>
    <xf numFmtId="167" fontId="188" fillId="0" borderId="24" xfId="1" applyNumberFormat="1" applyFont="1" applyFill="1" applyBorder="1" applyAlignment="1">
      <alignment horizontal="center"/>
    </xf>
    <xf numFmtId="167" fontId="188" fillId="0" borderId="35" xfId="1" applyNumberFormat="1" applyFont="1" applyFill="1" applyBorder="1" applyAlignment="1">
      <alignment horizontal="center"/>
    </xf>
    <xf numFmtId="167" fontId="188" fillId="0" borderId="0" xfId="1" applyNumberFormat="1" applyFont="1" applyFill="1" applyBorder="1" applyAlignment="1">
      <alignment horizontal="center"/>
    </xf>
    <xf numFmtId="167" fontId="199" fillId="0" borderId="58" xfId="1" applyNumberFormat="1" applyFont="1" applyFill="1" applyBorder="1" applyAlignment="1">
      <alignment horizontal="center" vertical="center"/>
    </xf>
    <xf numFmtId="167" fontId="188" fillId="0" borderId="46" xfId="1" applyNumberFormat="1" applyFont="1" applyFill="1" applyBorder="1" applyAlignment="1">
      <alignment horizontal="center"/>
    </xf>
    <xf numFmtId="167" fontId="189" fillId="0" borderId="5" xfId="1" applyNumberFormat="1" applyFont="1" applyFill="1" applyBorder="1" applyProtection="1">
      <protection hidden="1"/>
    </xf>
    <xf numFmtId="167" fontId="197" fillId="0" borderId="44" xfId="1" applyNumberFormat="1" applyFont="1" applyFill="1" applyBorder="1" applyAlignment="1">
      <alignment horizontal="center"/>
    </xf>
    <xf numFmtId="167" fontId="189" fillId="0" borderId="41" xfId="1" applyNumberFormat="1" applyFont="1" applyFill="1" applyBorder="1" applyProtection="1">
      <protection hidden="1"/>
    </xf>
    <xf numFmtId="167" fontId="199" fillId="0" borderId="5" xfId="1" applyNumberFormat="1" applyFont="1" applyFill="1" applyBorder="1" applyAlignment="1">
      <alignment horizontal="center" vertical="center"/>
    </xf>
    <xf numFmtId="167" fontId="189" fillId="0" borderId="43" xfId="1" applyNumberFormat="1" applyFont="1" applyFill="1" applyBorder="1" applyProtection="1">
      <protection hidden="1"/>
    </xf>
    <xf numFmtId="167" fontId="189" fillId="0" borderId="43" xfId="1" applyNumberFormat="1" applyFont="1" applyFill="1" applyBorder="1" applyAlignment="1">
      <alignment horizontal="center"/>
    </xf>
    <xf numFmtId="167" fontId="189" fillId="0" borderId="18" xfId="1" applyNumberFormat="1" applyFont="1" applyFill="1" applyBorder="1" applyAlignment="1">
      <alignment horizontal="center"/>
    </xf>
    <xf numFmtId="167" fontId="189" fillId="0" borderId="35" xfId="1" applyNumberFormat="1" applyFont="1" applyFill="1" applyBorder="1" applyAlignment="1">
      <alignment horizontal="center"/>
    </xf>
    <xf numFmtId="167" fontId="199" fillId="0" borderId="24" xfId="1" applyNumberFormat="1" applyFont="1" applyFill="1" applyBorder="1" applyAlignment="1">
      <alignment horizontal="center" vertical="center"/>
    </xf>
    <xf numFmtId="167" fontId="189" fillId="0" borderId="46" xfId="1" applyNumberFormat="1" applyFont="1" applyFill="1" applyBorder="1" applyAlignment="1">
      <alignment horizontal="center"/>
    </xf>
    <xf numFmtId="167" fontId="189" fillId="0" borderId="30" xfId="1" applyNumberFormat="1" applyFont="1" applyFill="1" applyBorder="1" applyAlignment="1" applyProtection="1">
      <alignment horizontal="center"/>
      <protection hidden="1"/>
    </xf>
    <xf numFmtId="167" fontId="189" fillId="0" borderId="5" xfId="1" applyNumberFormat="1" applyFont="1" applyFill="1" applyBorder="1" applyAlignment="1">
      <alignment horizontal="left"/>
    </xf>
    <xf numFmtId="167" fontId="189" fillId="0" borderId="41" xfId="1" applyNumberFormat="1" applyFont="1" applyFill="1" applyBorder="1" applyAlignment="1">
      <alignment horizontal="left"/>
    </xf>
    <xf numFmtId="167" fontId="194" fillId="0" borderId="45" xfId="1" applyNumberFormat="1" applyFont="1" applyFill="1" applyBorder="1" applyAlignment="1">
      <alignment horizontal="center"/>
    </xf>
    <xf numFmtId="167" fontId="194" fillId="0" borderId="44" xfId="1" applyNumberFormat="1" applyFont="1" applyFill="1" applyBorder="1" applyAlignment="1">
      <alignment horizontal="center"/>
    </xf>
    <xf numFmtId="167" fontId="189" fillId="0" borderId="43" xfId="1" applyNumberFormat="1" applyFont="1" applyFill="1" applyBorder="1" applyAlignment="1">
      <alignment horizontal="left"/>
    </xf>
    <xf numFmtId="167" fontId="188" fillId="0" borderId="34" xfId="1" applyNumberFormat="1" applyFont="1" applyFill="1" applyBorder="1" applyAlignment="1">
      <alignment horizontal="center"/>
    </xf>
    <xf numFmtId="167" fontId="197" fillId="0" borderId="11" xfId="1" applyNumberFormat="1" applyFont="1" applyFill="1" applyBorder="1" applyAlignment="1">
      <alignment horizontal="center" vertical="center"/>
    </xf>
    <xf numFmtId="167" fontId="194" fillId="0" borderId="11" xfId="1" applyNumberFormat="1" applyFont="1" applyFill="1" applyBorder="1" applyAlignment="1" applyProtection="1">
      <alignment horizontal="center" vertical="center"/>
      <protection hidden="1"/>
    </xf>
    <xf numFmtId="167" fontId="189" fillId="0" borderId="30" xfId="1" applyNumberFormat="1" applyFont="1" applyFill="1" applyBorder="1" applyAlignment="1">
      <alignment horizontal="left"/>
    </xf>
    <xf numFmtId="167" fontId="189" fillId="0" borderId="0" xfId="1" applyNumberFormat="1" applyFont="1" applyFill="1" applyBorder="1" applyAlignment="1">
      <alignment horizontal="left"/>
    </xf>
    <xf numFmtId="167" fontId="194" fillId="0" borderId="35" xfId="1" applyNumberFormat="1" applyFont="1" applyFill="1" applyBorder="1" applyAlignment="1" applyProtection="1">
      <alignment horizontal="center"/>
      <protection hidden="1"/>
    </xf>
    <xf numFmtId="167" fontId="195" fillId="0" borderId="0" xfId="1" applyNumberFormat="1" applyFont="1" applyFill="1" applyBorder="1" applyAlignment="1" applyProtection="1">
      <alignment horizontal="center"/>
      <protection hidden="1"/>
    </xf>
    <xf numFmtId="167" fontId="189" fillId="0" borderId="0" xfId="1" applyNumberFormat="1" applyFont="1" applyFill="1" applyBorder="1" applyAlignment="1">
      <alignment horizontal="center"/>
    </xf>
    <xf numFmtId="167" fontId="189" fillId="0" borderId="25" xfId="1" applyNumberFormat="1" applyFont="1" applyFill="1" applyBorder="1" applyAlignment="1">
      <alignment horizontal="center"/>
    </xf>
    <xf numFmtId="167" fontId="189" fillId="0" borderId="24" xfId="1" applyNumberFormat="1" applyFont="1" applyFill="1" applyBorder="1" applyAlignment="1">
      <alignment horizontal="center"/>
    </xf>
    <xf numFmtId="167" fontId="199" fillId="0" borderId="12" xfId="1" applyNumberFormat="1" applyFont="1" applyFill="1" applyBorder="1" applyAlignment="1">
      <alignment horizontal="center" vertical="center"/>
    </xf>
    <xf numFmtId="167" fontId="189" fillId="0" borderId="11" xfId="1" applyNumberFormat="1" applyFont="1" applyFill="1" applyBorder="1" applyAlignment="1">
      <alignment horizontal="center"/>
    </xf>
    <xf numFmtId="167" fontId="189" fillId="0" borderId="13" xfId="1" applyNumberFormat="1" applyFont="1" applyFill="1" applyBorder="1" applyAlignment="1">
      <alignment horizontal="center"/>
    </xf>
    <xf numFmtId="167" fontId="199" fillId="0" borderId="13" xfId="1" applyNumberFormat="1" applyFont="1" applyFill="1" applyBorder="1" applyAlignment="1">
      <alignment horizontal="center" vertical="center"/>
    </xf>
    <xf numFmtId="167" fontId="199" fillId="0" borderId="35" xfId="1" applyNumberFormat="1" applyFont="1" applyFill="1" applyBorder="1" applyAlignment="1">
      <alignment horizontal="center" vertical="center"/>
    </xf>
    <xf numFmtId="167" fontId="197" fillId="0" borderId="11" xfId="1" applyNumberFormat="1" applyFont="1" applyFill="1" applyBorder="1" applyAlignment="1"/>
    <xf numFmtId="167" fontId="189" fillId="0" borderId="30" xfId="1" applyNumberFormat="1" applyFont="1" applyFill="1" applyBorder="1" applyAlignment="1"/>
    <xf numFmtId="167" fontId="194" fillId="0" borderId="18" xfId="1" applyNumberFormat="1" applyFont="1" applyFill="1" applyBorder="1" applyAlignment="1" applyProtection="1">
      <alignment horizontal="center"/>
      <protection hidden="1"/>
    </xf>
    <xf numFmtId="167" fontId="198" fillId="0" borderId="18" xfId="1" applyNumberFormat="1" applyFont="1" applyFill="1" applyBorder="1" applyAlignment="1" applyProtection="1">
      <alignment horizontal="center"/>
      <protection hidden="1"/>
    </xf>
    <xf numFmtId="167" fontId="189" fillId="0" borderId="18" xfId="1" applyNumberFormat="1" applyFont="1" applyFill="1" applyBorder="1" applyAlignment="1">
      <alignment horizontal="center" vertical="center" wrapText="1"/>
    </xf>
    <xf numFmtId="167" fontId="189" fillId="0" borderId="46" xfId="1" applyNumberFormat="1" applyFont="1" applyFill="1" applyBorder="1" applyAlignment="1">
      <alignment horizontal="center" vertical="center" wrapText="1"/>
    </xf>
    <xf numFmtId="167" fontId="195" fillId="0" borderId="30" xfId="1" applyNumberFormat="1" applyFont="1" applyFill="1" applyBorder="1" applyAlignment="1" applyProtection="1">
      <alignment horizontal="center"/>
      <protection hidden="1"/>
    </xf>
    <xf numFmtId="167" fontId="198" fillId="0" borderId="11" xfId="1" applyNumberFormat="1" applyFont="1" applyFill="1" applyBorder="1" applyAlignment="1" applyProtection="1">
      <alignment horizontal="center"/>
      <protection hidden="1"/>
    </xf>
    <xf numFmtId="167" fontId="194" fillId="0" borderId="11" xfId="1" applyNumberFormat="1" applyFont="1" applyFill="1" applyBorder="1" applyAlignment="1">
      <alignment horizontal="center"/>
    </xf>
    <xf numFmtId="167" fontId="199" fillId="0" borderId="11" xfId="1" applyNumberFormat="1" applyFont="1" applyFill="1" applyBorder="1" applyAlignment="1">
      <alignment horizontal="center" vertical="center"/>
    </xf>
    <xf numFmtId="167" fontId="189" fillId="0" borderId="12" xfId="1" applyNumberFormat="1" applyFont="1" applyFill="1" applyBorder="1" applyAlignment="1">
      <alignment horizontal="center"/>
    </xf>
    <xf numFmtId="167" fontId="188" fillId="0" borderId="11" xfId="1" applyNumberFormat="1" applyFont="1" applyFill="1" applyBorder="1" applyAlignment="1">
      <alignment horizontal="center"/>
    </xf>
    <xf numFmtId="167" fontId="188" fillId="0" borderId="30" xfId="1" applyNumberFormat="1" applyFont="1" applyFill="1" applyBorder="1" applyAlignment="1">
      <alignment horizontal="center"/>
    </xf>
    <xf numFmtId="167" fontId="199" fillId="0" borderId="30" xfId="1" applyNumberFormat="1" applyFont="1" applyFill="1" applyBorder="1" applyAlignment="1">
      <alignment horizontal="center" vertical="center"/>
    </xf>
    <xf numFmtId="167" fontId="189" fillId="0" borderId="11" xfId="1" applyNumberFormat="1" applyFont="1" applyFill="1" applyBorder="1" applyAlignment="1">
      <alignment horizontal="center" vertical="center" wrapText="1"/>
    </xf>
    <xf numFmtId="167" fontId="189" fillId="0" borderId="13" xfId="1" applyNumberFormat="1" applyFont="1" applyFill="1" applyBorder="1" applyAlignment="1">
      <alignment horizontal="center" vertical="center" wrapText="1"/>
    </xf>
    <xf numFmtId="167" fontId="197" fillId="0" borderId="11" xfId="1" applyNumberFormat="1" applyFont="1" applyFill="1" applyBorder="1" applyAlignment="1">
      <alignment horizontal="center" vertical="center" wrapText="1"/>
    </xf>
    <xf numFmtId="167" fontId="188" fillId="0" borderId="15" xfId="1" applyNumberFormat="1" applyFont="1" applyFill="1" applyBorder="1"/>
    <xf numFmtId="167" fontId="195" fillId="0" borderId="51" xfId="1" applyNumberFormat="1" applyFont="1" applyFill="1" applyBorder="1" applyAlignment="1" applyProtection="1">
      <alignment horizontal="center"/>
      <protection hidden="1"/>
    </xf>
    <xf numFmtId="167" fontId="198" fillId="0" borderId="5" xfId="1" applyNumberFormat="1" applyFont="1" applyFill="1" applyBorder="1" applyAlignment="1" applyProtection="1">
      <alignment horizontal="center"/>
      <protection hidden="1"/>
    </xf>
    <xf numFmtId="167" fontId="194" fillId="0" borderId="5" xfId="1" applyNumberFormat="1" applyFont="1" applyFill="1" applyBorder="1" applyAlignment="1">
      <alignment horizontal="center"/>
    </xf>
    <xf numFmtId="167" fontId="195" fillId="0" borderId="5" xfId="1" applyNumberFormat="1" applyFont="1" applyFill="1" applyBorder="1" applyAlignment="1">
      <alignment horizontal="center"/>
    </xf>
    <xf numFmtId="167" fontId="195" fillId="0" borderId="51" xfId="1" applyNumberFormat="1" applyFont="1" applyFill="1" applyBorder="1" applyAlignment="1">
      <alignment horizontal="center"/>
    </xf>
    <xf numFmtId="167" fontId="189" fillId="0" borderId="5" xfId="1" applyNumberFormat="1" applyFont="1" applyFill="1" applyBorder="1" applyAlignment="1">
      <alignment horizontal="center" vertical="center"/>
    </xf>
    <xf numFmtId="167" fontId="189" fillId="0" borderId="51" xfId="1" applyNumberFormat="1" applyFont="1" applyFill="1" applyBorder="1" applyAlignment="1">
      <alignment horizontal="center" vertical="center"/>
    </xf>
    <xf numFmtId="167" fontId="189" fillId="0" borderId="51" xfId="1" applyNumberFormat="1" applyFont="1" applyFill="1" applyBorder="1" applyAlignment="1">
      <alignment horizontal="center"/>
    </xf>
    <xf numFmtId="167" fontId="188" fillId="0" borderId="16" xfId="1" quotePrefix="1" applyNumberFormat="1" applyFont="1" applyBorder="1"/>
    <xf numFmtId="167" fontId="189" fillId="0" borderId="41" xfId="1" applyNumberFormat="1" applyFont="1" applyBorder="1"/>
    <xf numFmtId="167" fontId="195" fillId="0" borderId="16" xfId="1" applyNumberFormat="1" applyFont="1" applyFill="1" applyBorder="1" applyAlignment="1" applyProtection="1">
      <alignment horizontal="center"/>
      <protection hidden="1"/>
    </xf>
    <xf numFmtId="167" fontId="198" fillId="8" borderId="41" xfId="1" applyNumberFormat="1" applyFont="1" applyFill="1" applyBorder="1" applyAlignment="1" applyProtection="1">
      <alignment horizontal="center"/>
      <protection hidden="1"/>
    </xf>
    <xf numFmtId="167" fontId="194" fillId="18" borderId="16" xfId="1" applyNumberFormat="1" applyFont="1" applyFill="1" applyBorder="1" applyAlignment="1">
      <alignment horizontal="center"/>
    </xf>
    <xf numFmtId="167" fontId="194" fillId="18" borderId="41" xfId="1" applyNumberFormat="1" applyFont="1" applyFill="1" applyBorder="1" applyAlignment="1">
      <alignment horizontal="center"/>
    </xf>
    <xf numFmtId="167" fontId="194" fillId="2" borderId="16" xfId="1" applyNumberFormat="1" applyFont="1" applyFill="1" applyBorder="1" applyAlignment="1">
      <alignment horizontal="center"/>
    </xf>
    <xf numFmtId="167" fontId="194" fillId="2" borderId="41" xfId="1" applyNumberFormat="1" applyFont="1" applyFill="1" applyBorder="1" applyAlignment="1">
      <alignment horizontal="center"/>
    </xf>
    <xf numFmtId="167" fontId="195" fillId="18" borderId="41" xfId="1" applyNumberFormat="1" applyFont="1" applyFill="1" applyBorder="1" applyAlignment="1">
      <alignment horizontal="center"/>
    </xf>
    <xf numFmtId="167" fontId="195" fillId="0" borderId="16" xfId="1" applyNumberFormat="1" applyFont="1" applyFill="1" applyBorder="1" applyAlignment="1">
      <alignment horizontal="center"/>
    </xf>
    <xf numFmtId="167" fontId="195" fillId="18" borderId="16" xfId="1" applyNumberFormat="1" applyFont="1" applyFill="1" applyBorder="1" applyAlignment="1">
      <alignment horizontal="center"/>
    </xf>
    <xf numFmtId="167" fontId="189" fillId="18" borderId="41" xfId="1" applyNumberFormat="1" applyFont="1" applyFill="1" applyBorder="1" applyAlignment="1">
      <alignment horizontal="center" vertical="center"/>
    </xf>
    <xf numFmtId="167" fontId="189" fillId="18" borderId="16" xfId="1" applyNumberFormat="1" applyFont="1" applyFill="1" applyBorder="1" applyAlignment="1">
      <alignment horizontal="center" vertical="center"/>
    </xf>
    <xf numFmtId="167" fontId="189" fillId="18" borderId="16" xfId="1" applyNumberFormat="1" applyFont="1" applyFill="1" applyBorder="1" applyAlignment="1">
      <alignment horizontal="center"/>
    </xf>
    <xf numFmtId="167" fontId="189" fillId="2" borderId="16" xfId="1" applyNumberFormat="1" applyFont="1" applyFill="1" applyBorder="1" applyAlignment="1">
      <alignment horizontal="center"/>
    </xf>
    <xf numFmtId="167" fontId="189" fillId="0" borderId="16" xfId="1" applyNumberFormat="1" applyFont="1" applyBorder="1"/>
    <xf numFmtId="167" fontId="189" fillId="0" borderId="41" xfId="1" applyNumberFormat="1" applyFont="1" applyBorder="1" applyAlignment="1">
      <alignment wrapText="1"/>
    </xf>
    <xf numFmtId="167" fontId="195" fillId="0" borderId="15" xfId="1" applyNumberFormat="1" applyFont="1" applyFill="1" applyBorder="1" applyAlignment="1" applyProtection="1">
      <alignment horizontal="center"/>
      <protection hidden="1"/>
    </xf>
    <xf numFmtId="167" fontId="189" fillId="0" borderId="16" xfId="1" applyNumberFormat="1" applyFont="1" applyBorder="1" applyAlignment="1">
      <alignment wrapText="1"/>
    </xf>
    <xf numFmtId="167" fontId="189" fillId="0" borderId="54" xfId="1" applyNumberFormat="1" applyFont="1" applyBorder="1" applyAlignment="1">
      <alignment wrapText="1"/>
    </xf>
    <xf numFmtId="1" fontId="188" fillId="0" borderId="11" xfId="4" applyNumberFormat="1" applyFont="1" applyBorder="1" applyAlignment="1">
      <alignment horizontal="center" vertical="center" wrapText="1"/>
    </xf>
    <xf numFmtId="0" fontId="189" fillId="0" borderId="30" xfId="4" applyFont="1" applyBorder="1" applyAlignment="1">
      <alignment horizontal="center" vertical="center" wrapText="1"/>
    </xf>
    <xf numFmtId="3" fontId="194" fillId="24" borderId="11" xfId="4" applyNumberFormat="1" applyFont="1" applyFill="1" applyBorder="1" applyAlignment="1">
      <alignment horizontal="center" vertical="center" wrapText="1"/>
    </xf>
    <xf numFmtId="3" fontId="194" fillId="24" borderId="30" xfId="4" applyNumberFormat="1" applyFont="1" applyFill="1" applyBorder="1" applyAlignment="1">
      <alignment horizontal="center" vertical="center" wrapText="1"/>
    </xf>
    <xf numFmtId="3" fontId="194" fillId="24" borderId="13" xfId="4" applyNumberFormat="1" applyFont="1" applyFill="1" applyBorder="1" applyAlignment="1">
      <alignment horizontal="center" vertical="center" wrapText="1"/>
    </xf>
    <xf numFmtId="0" fontId="187" fillId="0" borderId="0" xfId="4" applyFont="1"/>
    <xf numFmtId="0" fontId="189" fillId="0" borderId="0" xfId="4" applyFont="1"/>
    <xf numFmtId="0" fontId="194" fillId="0" borderId="0" xfId="4" applyFont="1" applyAlignment="1">
      <alignment horizontal="center"/>
    </xf>
    <xf numFmtId="0" fontId="195" fillId="0" borderId="0" xfId="4" applyFont="1" applyAlignment="1">
      <alignment horizontal="center"/>
    </xf>
    <xf numFmtId="0" fontId="198" fillId="0" borderId="0" xfId="4" applyFont="1" applyAlignment="1">
      <alignment horizontal="center"/>
    </xf>
    <xf numFmtId="167" fontId="194" fillId="0" borderId="0" xfId="1" applyNumberFormat="1" applyFont="1" applyAlignment="1">
      <alignment horizontal="center"/>
    </xf>
    <xf numFmtId="3" fontId="194" fillId="0" borderId="0" xfId="1" applyNumberFormat="1" applyFont="1" applyAlignment="1">
      <alignment horizontal="center"/>
    </xf>
    <xf numFmtId="3" fontId="195" fillId="0" borderId="0" xfId="4" applyNumberFormat="1" applyFont="1" applyAlignment="1">
      <alignment horizontal="center"/>
    </xf>
    <xf numFmtId="3" fontId="195" fillId="0" borderId="0" xfId="4" applyNumberFormat="1" applyFont="1" applyFill="1" applyAlignment="1">
      <alignment horizontal="center"/>
    </xf>
    <xf numFmtId="3" fontId="189" fillId="0" borderId="0" xfId="4" applyNumberFormat="1" applyFont="1" applyAlignment="1">
      <alignment horizontal="center" vertical="center"/>
    </xf>
    <xf numFmtId="0" fontId="189" fillId="0" borderId="0" xfId="4" applyFont="1" applyAlignment="1">
      <alignment horizontal="center"/>
    </xf>
    <xf numFmtId="3" fontId="189" fillId="0" borderId="0" xfId="4" applyNumberFormat="1" applyFont="1" applyAlignment="1">
      <alignment horizontal="center"/>
    </xf>
    <xf numFmtId="3" fontId="189" fillId="0" borderId="0" xfId="4" applyNumberFormat="1" applyFont="1" applyBorder="1" applyAlignment="1">
      <alignment horizontal="center" vertical="center"/>
    </xf>
    <xf numFmtId="0" fontId="202" fillId="0" borderId="0" xfId="0" applyFont="1" applyFill="1" applyBorder="1" applyAlignment="1">
      <alignment horizontal="center" vertical="center" readingOrder="1"/>
    </xf>
    <xf numFmtId="0" fontId="202" fillId="0" borderId="0" xfId="0" applyFont="1" applyFill="1" applyBorder="1" applyAlignment="1">
      <alignment horizontal="center" vertical="center" wrapText="1" readingOrder="1"/>
    </xf>
    <xf numFmtId="168" fontId="202" fillId="0" borderId="0" xfId="1" applyNumberFormat="1" applyFont="1" applyFill="1" applyBorder="1" applyAlignment="1">
      <alignment horizontal="center" vertical="center" readingOrder="1"/>
    </xf>
    <xf numFmtId="0" fontId="204" fillId="0" borderId="0" xfId="0" applyNumberFormat="1" applyFont="1" applyFill="1" applyBorder="1" applyAlignment="1">
      <alignment horizontal="center" vertical="center" wrapText="1" readingOrder="1"/>
    </xf>
    <xf numFmtId="0" fontId="202" fillId="0" borderId="0" xfId="0" applyFont="1" applyFill="1" applyBorder="1" applyAlignment="1">
      <alignment horizontal="center" vertical="center"/>
    </xf>
    <xf numFmtId="0" fontId="205" fillId="16" borderId="77" xfId="0" applyNumberFormat="1" applyFont="1" applyFill="1" applyBorder="1" applyAlignment="1">
      <alignment horizontal="center" vertical="center" wrapText="1" readingOrder="1"/>
    </xf>
    <xf numFmtId="168" fontId="205" fillId="16" borderId="77" xfId="1" applyNumberFormat="1" applyFont="1" applyFill="1" applyBorder="1" applyAlignment="1">
      <alignment horizontal="center" vertical="center" wrapText="1" readingOrder="1"/>
    </xf>
    <xf numFmtId="0" fontId="206" fillId="0" borderId="89" xfId="0" applyNumberFormat="1" applyFont="1" applyFill="1" applyBorder="1" applyAlignment="1">
      <alignment horizontal="center" vertical="center" wrapText="1" readingOrder="1"/>
    </xf>
    <xf numFmtId="168" fontId="206" fillId="0" borderId="89" xfId="1" applyNumberFormat="1" applyFont="1" applyFill="1" applyBorder="1" applyAlignment="1">
      <alignment horizontal="center" vertical="center" wrapText="1" readingOrder="1"/>
    </xf>
    <xf numFmtId="168" fontId="206" fillId="0" borderId="77" xfId="1" applyNumberFormat="1" applyFont="1" applyFill="1" applyBorder="1" applyAlignment="1">
      <alignment horizontal="center" vertical="center" wrapText="1" readingOrder="1"/>
    </xf>
    <xf numFmtId="0" fontId="206" fillId="0" borderId="86" xfId="0" applyNumberFormat="1" applyFont="1" applyFill="1" applyBorder="1" applyAlignment="1">
      <alignment horizontal="center" vertical="center" wrapText="1" readingOrder="1"/>
    </xf>
    <xf numFmtId="168" fontId="206" fillId="0" borderId="86" xfId="1" applyNumberFormat="1" applyFont="1" applyFill="1" applyBorder="1" applyAlignment="1">
      <alignment horizontal="center" vertical="center" wrapText="1" readingOrder="1"/>
    </xf>
    <xf numFmtId="0" fontId="206" fillId="0" borderId="80" xfId="0" applyNumberFormat="1" applyFont="1" applyFill="1" applyBorder="1" applyAlignment="1">
      <alignment horizontal="center" vertical="center" wrapText="1" readingOrder="1"/>
    </xf>
    <xf numFmtId="168" fontId="206" fillId="0" borderId="80" xfId="1" applyNumberFormat="1" applyFont="1" applyFill="1" applyBorder="1" applyAlignment="1">
      <alignment horizontal="center" vertical="center" wrapText="1" readingOrder="1"/>
    </xf>
    <xf numFmtId="168" fontId="207" fillId="0" borderId="0" xfId="1" applyNumberFormat="1" applyFont="1" applyFill="1" applyBorder="1" applyAlignment="1">
      <alignment horizontal="center" vertical="center" wrapText="1" readingOrder="1"/>
    </xf>
    <xf numFmtId="168" fontId="207" fillId="0" borderId="14" xfId="1" applyNumberFormat="1" applyFont="1" applyFill="1" applyBorder="1" applyAlignment="1">
      <alignment horizontal="center" vertical="center" wrapText="1" readingOrder="1"/>
    </xf>
    <xf numFmtId="168" fontId="207" fillId="0" borderId="41" xfId="1" applyNumberFormat="1" applyFont="1" applyFill="1" applyBorder="1" applyAlignment="1">
      <alignment horizontal="center" vertical="center" wrapText="1" readingOrder="1"/>
    </xf>
    <xf numFmtId="168" fontId="207" fillId="0" borderId="41" xfId="1" applyNumberFormat="1" applyFont="1" applyFill="1" applyBorder="1" applyAlignment="1">
      <alignment horizontal="center" vertical="center" readingOrder="1"/>
    </xf>
    <xf numFmtId="168" fontId="207" fillId="0" borderId="29" xfId="1" applyNumberFormat="1" applyFont="1" applyFill="1" applyBorder="1" applyAlignment="1">
      <alignment horizontal="center" vertical="center" readingOrder="1"/>
    </xf>
    <xf numFmtId="168" fontId="208" fillId="0" borderId="0" xfId="1" applyNumberFormat="1" applyFont="1" applyBorder="1" applyAlignment="1">
      <alignment horizontal="center" vertical="center" readingOrder="1"/>
    </xf>
    <xf numFmtId="168" fontId="208" fillId="17" borderId="0" xfId="1" applyNumberFormat="1" applyFont="1" applyFill="1" applyBorder="1" applyAlignment="1">
      <alignment horizontal="center" vertical="center" readingOrder="1"/>
    </xf>
    <xf numFmtId="168" fontId="208" fillId="0" borderId="0" xfId="1" applyNumberFormat="1" applyFont="1" applyAlignment="1">
      <alignment horizontal="center" vertical="center" readingOrder="1"/>
    </xf>
    <xf numFmtId="168" fontId="208" fillId="0" borderId="0" xfId="1" applyNumberFormat="1" applyFont="1" applyAlignment="1">
      <alignment horizontal="center" vertical="center" wrapText="1" readingOrder="1"/>
    </xf>
    <xf numFmtId="168" fontId="209" fillId="0" borderId="0" xfId="1" applyNumberFormat="1" applyFont="1" applyFill="1" applyBorder="1" applyAlignment="1">
      <alignment horizontal="center" vertical="center"/>
    </xf>
    <xf numFmtId="168" fontId="207" fillId="0" borderId="0" xfId="1" applyNumberFormat="1" applyFont="1" applyAlignment="1">
      <alignment horizontal="center" vertical="center" readingOrder="1"/>
    </xf>
    <xf numFmtId="168" fontId="208" fillId="0" borderId="0" xfId="1" applyNumberFormat="1" applyFont="1" applyBorder="1" applyAlignment="1">
      <alignment horizontal="center" vertical="center" wrapText="1" readingOrder="1"/>
    </xf>
    <xf numFmtId="168" fontId="207" fillId="17" borderId="14" xfId="1" applyNumberFormat="1" applyFont="1" applyFill="1" applyBorder="1" applyAlignment="1">
      <alignment horizontal="center" vertical="center" wrapText="1" readingOrder="1"/>
    </xf>
    <xf numFmtId="168" fontId="207" fillId="17" borderId="41" xfId="1" applyNumberFormat="1" applyFont="1" applyFill="1" applyBorder="1" applyAlignment="1">
      <alignment horizontal="center" vertical="center" wrapText="1" readingOrder="1"/>
    </xf>
    <xf numFmtId="168" fontId="207" fillId="0" borderId="41" xfId="1" applyNumberFormat="1" applyFont="1" applyBorder="1" applyAlignment="1">
      <alignment horizontal="center" vertical="center" wrapText="1" readingOrder="1"/>
    </xf>
    <xf numFmtId="168" fontId="207" fillId="0" borderId="41" xfId="1" applyNumberFormat="1" applyFont="1" applyBorder="1" applyAlignment="1">
      <alignment horizontal="center" vertical="center" readingOrder="1"/>
    </xf>
    <xf numFmtId="168" fontId="207" fillId="0" borderId="29" xfId="1" applyNumberFormat="1" applyFont="1" applyBorder="1" applyAlignment="1">
      <alignment horizontal="center" vertical="center" readingOrder="1"/>
    </xf>
    <xf numFmtId="0" fontId="210" fillId="0" borderId="0" xfId="0" applyFont="1" applyFill="1" applyBorder="1"/>
    <xf numFmtId="168" fontId="206" fillId="0" borderId="0" xfId="1" applyNumberFormat="1" applyFont="1" applyFill="1" applyBorder="1" applyAlignment="1">
      <alignment horizontal="center" vertical="center" wrapText="1" readingOrder="1"/>
    </xf>
    <xf numFmtId="168" fontId="206" fillId="0" borderId="14" xfId="1" applyNumberFormat="1" applyFont="1" applyFill="1" applyBorder="1" applyAlignment="1">
      <alignment horizontal="center" vertical="center" wrapText="1" readingOrder="1"/>
    </xf>
    <xf numFmtId="168" fontId="206" fillId="0" borderId="41" xfId="1" applyNumberFormat="1" applyFont="1" applyFill="1" applyBorder="1" applyAlignment="1">
      <alignment horizontal="center" vertical="center" wrapText="1" readingOrder="1"/>
    </xf>
    <xf numFmtId="168" fontId="202" fillId="0" borderId="41" xfId="1" applyNumberFormat="1" applyFont="1" applyFill="1" applyBorder="1" applyAlignment="1">
      <alignment horizontal="center" vertical="center" readingOrder="1"/>
    </xf>
    <xf numFmtId="168" fontId="202" fillId="0" borderId="29" xfId="1" applyNumberFormat="1" applyFont="1" applyFill="1" applyBorder="1" applyAlignment="1">
      <alignment horizontal="center" vertical="center" readingOrder="1"/>
    </xf>
    <xf numFmtId="168" fontId="207" fillId="0" borderId="0" xfId="1" applyNumberFormat="1" applyFont="1" applyBorder="1" applyAlignment="1">
      <alignment horizontal="center" vertical="center" readingOrder="1"/>
    </xf>
    <xf numFmtId="168" fontId="206" fillId="17" borderId="0" xfId="1" applyNumberFormat="1" applyFont="1" applyFill="1" applyBorder="1" applyAlignment="1">
      <alignment horizontal="center" vertical="center" readingOrder="1"/>
    </xf>
    <xf numFmtId="168" fontId="207" fillId="0" borderId="0" xfId="1" applyNumberFormat="1" applyFont="1" applyAlignment="1">
      <alignment horizontal="center" vertical="center" wrapText="1" readingOrder="1"/>
    </xf>
    <xf numFmtId="0" fontId="207" fillId="0" borderId="14" xfId="0" applyNumberFormat="1" applyFont="1" applyFill="1" applyBorder="1" applyAlignment="1">
      <alignment horizontal="center" vertical="center" wrapText="1" readingOrder="1"/>
    </xf>
    <xf numFmtId="0" fontId="207" fillId="0" borderId="41" xfId="0" applyNumberFormat="1" applyFont="1" applyFill="1" applyBorder="1" applyAlignment="1">
      <alignment horizontal="center" vertical="center" wrapText="1" readingOrder="1"/>
    </xf>
    <xf numFmtId="0" fontId="207" fillId="0" borderId="29" xfId="0" applyNumberFormat="1" applyFont="1" applyFill="1" applyBorder="1" applyAlignment="1">
      <alignment horizontal="center" vertical="center" wrapText="1" readingOrder="1"/>
    </xf>
    <xf numFmtId="168" fontId="208" fillId="0" borderId="0" xfId="1" applyNumberFormat="1" applyFont="1" applyFill="1" applyBorder="1" applyAlignment="1">
      <alignment horizontal="center" vertical="center" wrapText="1" readingOrder="1"/>
    </xf>
    <xf numFmtId="168" fontId="207" fillId="0" borderId="14" xfId="1" applyNumberFormat="1" applyFont="1" applyBorder="1" applyAlignment="1">
      <alignment horizontal="center" vertical="center" readingOrder="1"/>
    </xf>
    <xf numFmtId="0" fontId="202" fillId="0" borderId="0" xfId="0" applyFont="1" applyFill="1" applyBorder="1" applyAlignment="1">
      <alignment horizontal="center" vertical="center" wrapText="1"/>
    </xf>
    <xf numFmtId="168" fontId="202" fillId="0" borderId="0" xfId="1" applyNumberFormat="1" applyFont="1" applyFill="1" applyBorder="1" applyAlignment="1">
      <alignment horizontal="center" vertical="center"/>
    </xf>
    <xf numFmtId="0" fontId="144" fillId="0" borderId="14" xfId="0" applyFont="1" applyFill="1" applyBorder="1" applyAlignment="1">
      <alignment horizontal="center" vertical="center" readingOrder="1"/>
    </xf>
    <xf numFmtId="0" fontId="144" fillId="0" borderId="41" xfId="0" applyNumberFormat="1" applyFont="1" applyFill="1" applyBorder="1" applyAlignment="1">
      <alignment horizontal="center" vertical="center" wrapText="1" readingOrder="1"/>
    </xf>
    <xf numFmtId="168" fontId="144" fillId="0" borderId="41" xfId="0" applyNumberFormat="1" applyFont="1" applyFill="1" applyBorder="1" applyAlignment="1">
      <alignment horizontal="center" vertical="center" wrapText="1" readingOrder="1"/>
    </xf>
    <xf numFmtId="168" fontId="144" fillId="0" borderId="41" xfId="1" applyNumberFormat="1" applyFont="1" applyFill="1" applyBorder="1" applyAlignment="1">
      <alignment horizontal="center" vertical="center" wrapText="1" readingOrder="1"/>
    </xf>
    <xf numFmtId="0" fontId="144" fillId="0" borderId="41" xfId="0" applyFont="1" applyFill="1" applyBorder="1" applyAlignment="1">
      <alignment horizontal="center" vertical="center" readingOrder="1"/>
    </xf>
    <xf numFmtId="0" fontId="144" fillId="0" borderId="29" xfId="0" applyFont="1" applyFill="1" applyBorder="1" applyAlignment="1">
      <alignment horizontal="center" vertical="center" readingOrder="1"/>
    </xf>
    <xf numFmtId="168" fontId="33" fillId="0" borderId="0" xfId="1" applyNumberFormat="1" applyFont="1" applyFill="1" applyBorder="1" applyAlignment="1">
      <alignment horizontal="center" vertical="center"/>
    </xf>
    <xf numFmtId="0" fontId="214" fillId="0" borderId="0" xfId="0" applyNumberFormat="1" applyFont="1" applyFill="1" applyBorder="1" applyAlignment="1">
      <alignment horizontal="center" vertical="center" wrapText="1" readingOrder="1"/>
    </xf>
    <xf numFmtId="0" fontId="211" fillId="0" borderId="0" xfId="0" applyFont="1" applyFill="1" applyBorder="1" applyAlignment="1">
      <alignment horizontal="center" vertical="center"/>
    </xf>
    <xf numFmtId="0" fontId="115" fillId="0" borderId="0" xfId="0" applyFont="1" applyFill="1" applyBorder="1" applyAlignment="1">
      <alignment horizontal="center" vertical="center"/>
    </xf>
    <xf numFmtId="0" fontId="144" fillId="0" borderId="14" xfId="0" applyFont="1" applyFill="1" applyBorder="1" applyAlignment="1">
      <alignment horizontal="center" vertical="center"/>
    </xf>
    <xf numFmtId="0" fontId="144" fillId="0" borderId="41" xfId="0" applyFont="1" applyFill="1" applyBorder="1" applyAlignment="1">
      <alignment horizontal="center" vertical="center"/>
    </xf>
    <xf numFmtId="168" fontId="144" fillId="0" borderId="41" xfId="1" applyNumberFormat="1" applyFont="1" applyFill="1" applyBorder="1" applyAlignment="1">
      <alignment horizontal="center" vertical="center"/>
    </xf>
    <xf numFmtId="0" fontId="144" fillId="0" borderId="41" xfId="0" applyFont="1" applyFill="1" applyBorder="1" applyAlignment="1">
      <alignment horizontal="center" vertical="center" wrapText="1"/>
    </xf>
    <xf numFmtId="168" fontId="144" fillId="0" borderId="41" xfId="1" applyNumberFormat="1" applyFont="1" applyFill="1" applyBorder="1" applyAlignment="1">
      <alignment horizontal="center" vertical="center" wrapText="1"/>
    </xf>
    <xf numFmtId="0" fontId="144" fillId="0" borderId="29" xfId="0" applyFont="1" applyFill="1" applyBorder="1" applyAlignment="1">
      <alignment horizontal="center" vertical="center"/>
    </xf>
    <xf numFmtId="168" fontId="115" fillId="0" borderId="0" xfId="1" applyNumberFormat="1" applyFont="1" applyBorder="1" applyAlignment="1">
      <alignment horizontal="center" vertical="center"/>
    </xf>
    <xf numFmtId="168" fontId="115" fillId="17" borderId="0" xfId="1" applyNumberFormat="1" applyFont="1" applyFill="1" applyBorder="1" applyAlignment="1">
      <alignment horizontal="center" vertical="center"/>
    </xf>
    <xf numFmtId="168" fontId="115" fillId="0" borderId="0" xfId="1" applyNumberFormat="1" applyFont="1" applyAlignment="1">
      <alignment horizontal="center" vertical="center"/>
    </xf>
    <xf numFmtId="168" fontId="115" fillId="0" borderId="0" xfId="1" applyNumberFormat="1" applyFont="1" applyAlignment="1">
      <alignment horizontal="center" vertical="center" wrapText="1"/>
    </xf>
    <xf numFmtId="168" fontId="215" fillId="0" borderId="0" xfId="1" applyNumberFormat="1" applyFont="1" applyFill="1" applyBorder="1" applyAlignment="1">
      <alignment horizontal="center" vertical="center"/>
    </xf>
    <xf numFmtId="0" fontId="144" fillId="0" borderId="14" xfId="0" applyFont="1" applyFill="1" applyBorder="1" applyAlignment="1">
      <alignment horizontal="center" vertical="center" wrapText="1"/>
    </xf>
    <xf numFmtId="0" fontId="216" fillId="0" borderId="0" xfId="0" applyNumberFormat="1" applyFont="1" applyFill="1" applyBorder="1" applyAlignment="1">
      <alignment horizontal="center" vertical="center" wrapText="1" readingOrder="1"/>
    </xf>
    <xf numFmtId="0" fontId="213" fillId="0" borderId="0" xfId="0" applyNumberFormat="1" applyFont="1" applyFill="1" applyBorder="1" applyAlignment="1">
      <alignment horizontal="center" vertical="center" wrapText="1" readingOrder="1"/>
    </xf>
    <xf numFmtId="0" fontId="115" fillId="0" borderId="0" xfId="0" applyNumberFormat="1" applyFont="1" applyFill="1" applyBorder="1" applyAlignment="1">
      <alignment horizontal="center" vertical="center" wrapText="1" readingOrder="1"/>
    </xf>
    <xf numFmtId="168" fontId="144" fillId="0" borderId="14" xfId="1" applyNumberFormat="1" applyFont="1" applyFill="1" applyBorder="1" applyAlignment="1">
      <alignment horizontal="center" vertical="center" wrapText="1" readingOrder="1"/>
    </xf>
    <xf numFmtId="168" fontId="144" fillId="0" borderId="29" xfId="1" applyNumberFormat="1" applyFont="1" applyFill="1" applyBorder="1" applyAlignment="1">
      <alignment horizontal="center" vertical="center"/>
    </xf>
    <xf numFmtId="0" fontId="115" fillId="0" borderId="0" xfId="0" applyFont="1" applyBorder="1" applyAlignment="1">
      <alignment horizontal="center" vertical="center"/>
    </xf>
    <xf numFmtId="0" fontId="144" fillId="0" borderId="14" xfId="0" applyFont="1" applyBorder="1" applyAlignment="1">
      <alignment horizontal="center" vertical="center"/>
    </xf>
    <xf numFmtId="0" fontId="144" fillId="0" borderId="41" xfId="0" applyFont="1" applyBorder="1" applyAlignment="1">
      <alignment horizontal="center" vertical="center"/>
    </xf>
    <xf numFmtId="0" fontId="144" fillId="0" borderId="41" xfId="0" applyFont="1" applyBorder="1" applyAlignment="1">
      <alignment horizontal="center" vertical="center" wrapText="1"/>
    </xf>
    <xf numFmtId="167" fontId="144" fillId="0" borderId="41" xfId="1" applyNumberFormat="1" applyFont="1" applyBorder="1" applyAlignment="1">
      <alignment horizontal="center" vertical="center"/>
    </xf>
    <xf numFmtId="168" fontId="144" fillId="0" borderId="41" xfId="1" applyNumberFormat="1" applyFont="1" applyBorder="1" applyAlignment="1">
      <alignment horizontal="center" vertical="center"/>
    </xf>
    <xf numFmtId="167" fontId="144" fillId="0" borderId="41" xfId="0" applyNumberFormat="1" applyFont="1" applyBorder="1" applyAlignment="1">
      <alignment horizontal="center" vertical="center"/>
    </xf>
    <xf numFmtId="0" fontId="144" fillId="0" borderId="29" xfId="0" applyFont="1" applyBorder="1" applyAlignment="1">
      <alignment horizontal="center" vertical="center"/>
    </xf>
    <xf numFmtId="0" fontId="218" fillId="0" borderId="0" xfId="0" applyNumberFormat="1" applyFont="1" applyFill="1" applyBorder="1" applyAlignment="1">
      <alignment horizontal="center" vertical="center" wrapText="1" readingOrder="1"/>
    </xf>
    <xf numFmtId="168" fontId="144" fillId="0" borderId="0" xfId="1" applyNumberFormat="1" applyFont="1" applyFill="1" applyBorder="1" applyAlignment="1">
      <alignment horizontal="center" vertical="center"/>
    </xf>
    <xf numFmtId="0" fontId="219" fillId="0" borderId="0" xfId="0" applyFont="1" applyFill="1" applyBorder="1" applyAlignment="1">
      <alignment horizontal="center" vertical="center"/>
    </xf>
    <xf numFmtId="0" fontId="220" fillId="16" borderId="77" xfId="0" applyNumberFormat="1" applyFont="1" applyFill="1" applyBorder="1" applyAlignment="1">
      <alignment horizontal="center" vertical="center" wrapText="1" readingOrder="1"/>
    </xf>
    <xf numFmtId="168" fontId="220" fillId="16" borderId="77" xfId="1" applyNumberFormat="1" applyFont="1" applyFill="1" applyBorder="1" applyAlignment="1">
      <alignment horizontal="center" vertical="center" wrapText="1" readingOrder="1"/>
    </xf>
    <xf numFmtId="0" fontId="144" fillId="0" borderId="89" xfId="0" applyNumberFormat="1" applyFont="1" applyFill="1" applyBorder="1" applyAlignment="1">
      <alignment horizontal="center" vertical="center" wrapText="1" readingOrder="1"/>
    </xf>
    <xf numFmtId="168" fontId="144" fillId="0" borderId="89" xfId="1" applyNumberFormat="1" applyFont="1" applyFill="1" applyBorder="1" applyAlignment="1">
      <alignment horizontal="center" vertical="center" wrapText="1" readingOrder="1"/>
    </xf>
    <xf numFmtId="168" fontId="144" fillId="0" borderId="77" xfId="1" applyNumberFormat="1" applyFont="1" applyFill="1" applyBorder="1" applyAlignment="1">
      <alignment horizontal="center" vertical="center" wrapText="1" readingOrder="1"/>
    </xf>
    <xf numFmtId="0" fontId="144" fillId="0" borderId="86" xfId="0" applyNumberFormat="1" applyFont="1" applyFill="1" applyBorder="1" applyAlignment="1">
      <alignment horizontal="center" vertical="center" wrapText="1" readingOrder="1"/>
    </xf>
    <xf numFmtId="168" fontId="144" fillId="0" borderId="86" xfId="1" applyNumberFormat="1" applyFont="1" applyFill="1" applyBorder="1" applyAlignment="1">
      <alignment horizontal="center" vertical="center" wrapText="1" readingOrder="1"/>
    </xf>
    <xf numFmtId="0" fontId="144" fillId="8" borderId="0" xfId="0" applyFont="1" applyFill="1" applyBorder="1" applyAlignment="1">
      <alignment horizontal="center" vertical="center"/>
    </xf>
    <xf numFmtId="0" fontId="144" fillId="8" borderId="14" xfId="0" applyFont="1" applyFill="1" applyBorder="1" applyAlignment="1">
      <alignment horizontal="center" vertical="center"/>
    </xf>
    <xf numFmtId="0" fontId="144" fillId="8" borderId="41" xfId="0" applyFont="1" applyFill="1" applyBorder="1" applyAlignment="1">
      <alignment horizontal="center" vertical="center"/>
    </xf>
    <xf numFmtId="168" fontId="144" fillId="8" borderId="41" xfId="0" applyNumberFormat="1" applyFont="1" applyFill="1" applyBorder="1" applyAlignment="1">
      <alignment horizontal="center" vertical="center"/>
    </xf>
    <xf numFmtId="0" fontId="144" fillId="8" borderId="41" xfId="0" applyFont="1" applyFill="1" applyBorder="1" applyAlignment="1">
      <alignment horizontal="center" vertical="center" wrapText="1"/>
    </xf>
    <xf numFmtId="168" fontId="144" fillId="8" borderId="41" xfId="1" applyNumberFormat="1" applyFont="1" applyFill="1" applyBorder="1" applyAlignment="1">
      <alignment horizontal="center" vertical="center" wrapText="1"/>
    </xf>
    <xf numFmtId="0" fontId="115" fillId="0" borderId="0" xfId="0" applyFont="1" applyAlignment="1">
      <alignment horizontal="center" vertical="center"/>
    </xf>
    <xf numFmtId="0" fontId="115" fillId="0" borderId="0" xfId="0" applyFont="1" applyAlignment="1">
      <alignment horizontal="center" vertical="center" wrapText="1"/>
    </xf>
    <xf numFmtId="43" fontId="115" fillId="0" borderId="0" xfId="1" applyFont="1" applyAlignment="1">
      <alignment horizontal="center" vertical="center"/>
    </xf>
    <xf numFmtId="0" fontId="144" fillId="0" borderId="14" xfId="0" applyFont="1" applyBorder="1" applyAlignment="1">
      <alignment horizontal="center" vertical="center" wrapText="1"/>
    </xf>
    <xf numFmtId="0" fontId="144" fillId="8" borderId="1" xfId="0" applyFont="1" applyFill="1" applyBorder="1" applyAlignment="1">
      <alignment horizontal="center" vertical="center"/>
    </xf>
    <xf numFmtId="43" fontId="144" fillId="0" borderId="41" xfId="1" applyFont="1" applyBorder="1" applyAlignment="1">
      <alignment horizontal="center" vertical="center"/>
    </xf>
    <xf numFmtId="168" fontId="144" fillId="0" borderId="41" xfId="1" applyNumberFormat="1" applyFont="1" applyBorder="1" applyAlignment="1">
      <alignment horizontal="center" vertical="center" wrapText="1"/>
    </xf>
    <xf numFmtId="0" fontId="202" fillId="0" borderId="0" xfId="0" applyFont="1" applyFill="1" applyBorder="1" applyAlignment="1">
      <alignment vertical="center"/>
    </xf>
    <xf numFmtId="0" fontId="204" fillId="0" borderId="0" xfId="0" applyNumberFormat="1" applyFont="1" applyFill="1" applyBorder="1" applyAlignment="1">
      <alignment vertical="center" wrapText="1" readingOrder="1"/>
    </xf>
    <xf numFmtId="0" fontId="208" fillId="0" borderId="0" xfId="0" applyFont="1" applyBorder="1" applyAlignment="1">
      <alignment horizontal="center" vertical="center" wrapText="1"/>
    </xf>
    <xf numFmtId="0" fontId="207" fillId="17" borderId="14" xfId="0" applyFont="1" applyFill="1" applyBorder="1" applyAlignment="1">
      <alignment horizontal="center" vertical="center" wrapText="1"/>
    </xf>
    <xf numFmtId="168" fontId="207" fillId="17" borderId="41" xfId="1" applyNumberFormat="1" applyFont="1" applyFill="1" applyBorder="1" applyAlignment="1">
      <alignment vertical="center" wrapText="1"/>
    </xf>
    <xf numFmtId="0" fontId="207" fillId="0" borderId="41" xfId="0" applyFont="1" applyBorder="1" applyAlignment="1">
      <alignment vertical="center" wrapText="1"/>
    </xf>
    <xf numFmtId="0" fontId="207" fillId="0" borderId="41" xfId="0" applyFont="1" applyBorder="1" applyAlignment="1">
      <alignment horizontal="center" vertical="center" wrapText="1"/>
    </xf>
    <xf numFmtId="168" fontId="207" fillId="0" borderId="41" xfId="1" applyNumberFormat="1" applyFont="1" applyBorder="1" applyAlignment="1">
      <alignment horizontal="center" vertical="center" wrapText="1"/>
    </xf>
    <xf numFmtId="168" fontId="207" fillId="0" borderId="41" xfId="1" applyNumberFormat="1" applyFont="1" applyBorder="1" applyAlignment="1">
      <alignment horizontal="center" vertical="center"/>
    </xf>
    <xf numFmtId="0" fontId="207" fillId="0" borderId="41" xfId="0" applyFont="1" applyBorder="1" applyAlignment="1">
      <alignment horizontal="center" vertical="center"/>
    </xf>
    <xf numFmtId="0" fontId="207" fillId="0" borderId="29" xfId="0" applyFont="1" applyFill="1" applyBorder="1" applyAlignment="1">
      <alignment horizontal="center" vertical="center"/>
    </xf>
    <xf numFmtId="168" fontId="208" fillId="0" borderId="0" xfId="1" applyNumberFormat="1" applyFont="1" applyBorder="1" applyAlignment="1">
      <alignment horizontal="center" vertical="center"/>
    </xf>
    <xf numFmtId="168" fontId="208" fillId="17" borderId="0" xfId="1" applyNumberFormat="1" applyFont="1" applyFill="1" applyBorder="1" applyAlignment="1">
      <alignment horizontal="center" vertical="center"/>
    </xf>
    <xf numFmtId="168" fontId="208" fillId="0" borderId="0" xfId="1" applyNumberFormat="1" applyFont="1" applyBorder="1" applyAlignment="1">
      <alignment vertical="center"/>
    </xf>
    <xf numFmtId="168" fontId="208" fillId="17" borderId="0" xfId="1" applyNumberFormat="1" applyFont="1" applyFill="1" applyBorder="1" applyAlignment="1">
      <alignment vertical="center"/>
    </xf>
    <xf numFmtId="168" fontId="208" fillId="0" borderId="0" xfId="1" applyNumberFormat="1" applyFont="1" applyAlignment="1">
      <alignment horizontal="center" vertical="center"/>
    </xf>
    <xf numFmtId="0" fontId="208" fillId="0" borderId="0" xfId="0" applyFont="1" applyFill="1" applyBorder="1" applyAlignment="1">
      <alignment horizontal="center" vertical="center"/>
    </xf>
    <xf numFmtId="168" fontId="208" fillId="0" borderId="0" xfId="1" applyNumberFormat="1" applyFont="1" applyAlignment="1">
      <alignment vertical="center"/>
    </xf>
    <xf numFmtId="0" fontId="204" fillId="0" borderId="0" xfId="0" applyNumberFormat="1" applyFont="1" applyFill="1" applyBorder="1" applyAlignment="1">
      <alignment vertical="center" wrapText="1"/>
    </xf>
    <xf numFmtId="0" fontId="206" fillId="0" borderId="106" xfId="0" applyNumberFormat="1" applyFont="1" applyFill="1" applyBorder="1" applyAlignment="1">
      <alignment vertical="center" readingOrder="1"/>
    </xf>
    <xf numFmtId="0" fontId="202" fillId="0" borderId="84" xfId="0" applyNumberFormat="1" applyFont="1" applyFill="1" applyBorder="1" applyAlignment="1">
      <alignment vertical="center" readingOrder="1"/>
    </xf>
    <xf numFmtId="0" fontId="202" fillId="0" borderId="85" xfId="0" applyNumberFormat="1" applyFont="1" applyFill="1" applyBorder="1" applyAlignment="1">
      <alignment vertical="center" readingOrder="1"/>
    </xf>
    <xf numFmtId="0" fontId="206" fillId="0" borderId="87" xfId="0" applyNumberFormat="1" applyFont="1" applyFill="1" applyBorder="1" applyAlignment="1">
      <alignment vertical="center" readingOrder="1"/>
    </xf>
    <xf numFmtId="0" fontId="202" fillId="0" borderId="0" xfId="0" applyFont="1" applyFill="1" applyBorder="1" applyAlignment="1">
      <alignment vertical="center" readingOrder="1"/>
    </xf>
    <xf numFmtId="0" fontId="202" fillId="0" borderId="88" xfId="0" applyNumberFormat="1" applyFont="1" applyFill="1" applyBorder="1" applyAlignment="1">
      <alignment vertical="center" readingOrder="1"/>
    </xf>
    <xf numFmtId="0" fontId="206" fillId="0" borderId="81" xfId="0" applyNumberFormat="1" applyFont="1" applyFill="1" applyBorder="1" applyAlignment="1">
      <alignment vertical="center" readingOrder="1"/>
    </xf>
    <xf numFmtId="0" fontId="202" fillId="0" borderId="82" xfId="0" applyFont="1" applyFill="1" applyBorder="1" applyAlignment="1">
      <alignment vertical="center" readingOrder="1"/>
    </xf>
    <xf numFmtId="0" fontId="202" fillId="0" borderId="83" xfId="0" applyNumberFormat="1" applyFont="1" applyFill="1" applyBorder="1" applyAlignment="1">
      <alignment vertical="center" readingOrder="1"/>
    </xf>
    <xf numFmtId="0" fontId="202" fillId="0" borderId="84" xfId="0" applyNumberFormat="1" applyFont="1" applyFill="1" applyBorder="1" applyAlignment="1">
      <alignment vertical="center"/>
    </xf>
    <xf numFmtId="0" fontId="202" fillId="0" borderId="85" xfId="0" applyNumberFormat="1" applyFont="1" applyFill="1" applyBorder="1" applyAlignment="1">
      <alignment vertical="center"/>
    </xf>
    <xf numFmtId="0" fontId="202" fillId="0" borderId="88" xfId="0" applyNumberFormat="1" applyFont="1" applyFill="1" applyBorder="1" applyAlignment="1">
      <alignment vertical="center"/>
    </xf>
    <xf numFmtId="0" fontId="202" fillId="0" borderId="82" xfId="0" applyFont="1" applyFill="1" applyBorder="1" applyAlignment="1">
      <alignment vertical="center"/>
    </xf>
    <xf numFmtId="0" fontId="202" fillId="0" borderId="83" xfId="0" applyNumberFormat="1" applyFont="1" applyFill="1" applyBorder="1" applyAlignment="1">
      <alignment vertical="center"/>
    </xf>
    <xf numFmtId="0" fontId="208" fillId="0" borderId="0" xfId="0" applyNumberFormat="1" applyFont="1" applyFill="1" applyBorder="1" applyAlignment="1">
      <alignment horizontal="center" vertical="center" wrapText="1"/>
    </xf>
    <xf numFmtId="0" fontId="207" fillId="0" borderId="14" xfId="0" applyNumberFormat="1" applyFont="1" applyFill="1" applyBorder="1" applyAlignment="1">
      <alignment horizontal="center" vertical="center" wrapText="1"/>
    </xf>
    <xf numFmtId="0" fontId="207" fillId="0" borderId="41" xfId="0" applyNumberFormat="1" applyFont="1" applyFill="1" applyBorder="1" applyAlignment="1">
      <alignment vertical="center" wrapText="1"/>
    </xf>
    <xf numFmtId="0" fontId="207" fillId="0" borderId="41" xfId="0" applyNumberFormat="1" applyFont="1" applyFill="1" applyBorder="1" applyAlignment="1">
      <alignment horizontal="center" vertical="center" wrapText="1"/>
    </xf>
    <xf numFmtId="168" fontId="207" fillId="0" borderId="41" xfId="1" applyNumberFormat="1" applyFont="1" applyFill="1" applyBorder="1" applyAlignment="1">
      <alignment horizontal="center" vertical="center" wrapText="1"/>
    </xf>
    <xf numFmtId="0" fontId="207" fillId="0" borderId="41" xfId="0" applyFont="1" applyFill="1" applyBorder="1" applyAlignment="1">
      <alignment horizontal="center" vertical="center"/>
    </xf>
    <xf numFmtId="0" fontId="207" fillId="0" borderId="0" xfId="0" applyFont="1" applyFill="1" applyBorder="1" applyAlignment="1">
      <alignment vertical="center"/>
    </xf>
    <xf numFmtId="0" fontId="224" fillId="0" borderId="0" xfId="0" applyNumberFormat="1" applyFont="1" applyFill="1" applyBorder="1" applyAlignment="1">
      <alignment vertical="center" wrapText="1"/>
    </xf>
    <xf numFmtId="0" fontId="207" fillId="0" borderId="0" xfId="0" applyFont="1" applyFill="1" applyBorder="1" applyAlignment="1">
      <alignment horizontal="center" vertical="center"/>
    </xf>
    <xf numFmtId="168" fontId="207" fillId="0" borderId="0" xfId="1" applyNumberFormat="1" applyFont="1" applyFill="1" applyBorder="1" applyAlignment="1">
      <alignment horizontal="center" vertical="center"/>
    </xf>
    <xf numFmtId="0" fontId="207" fillId="0" borderId="0" xfId="0" applyFont="1" applyBorder="1" applyAlignment="1">
      <alignment horizontal="center" vertical="center" wrapText="1"/>
    </xf>
    <xf numFmtId="168" fontId="207" fillId="0" borderId="41" xfId="1" applyNumberFormat="1" applyFont="1" applyFill="1" applyBorder="1" applyAlignment="1">
      <alignment horizontal="center" vertical="center"/>
    </xf>
    <xf numFmtId="0" fontId="207" fillId="0" borderId="29" xfId="0" applyFont="1" applyBorder="1" applyAlignment="1">
      <alignment horizontal="center" vertical="center"/>
    </xf>
    <xf numFmtId="0" fontId="208" fillId="0" borderId="0" xfId="0" applyFont="1" applyAlignment="1">
      <alignment horizontal="center" vertical="center"/>
    </xf>
    <xf numFmtId="0" fontId="206" fillId="0" borderId="0" xfId="0" applyNumberFormat="1" applyFont="1" applyFill="1" applyBorder="1" applyAlignment="1">
      <alignment horizontal="center" vertical="center" wrapText="1"/>
    </xf>
    <xf numFmtId="0" fontId="203" fillId="0" borderId="0" xfId="0" applyNumberFormat="1" applyFont="1" applyFill="1" applyBorder="1" applyAlignment="1">
      <alignment horizontal="center" vertical="center" wrapText="1"/>
    </xf>
    <xf numFmtId="168" fontId="207" fillId="0" borderId="41" xfId="0" applyNumberFormat="1" applyFont="1" applyBorder="1" applyAlignment="1">
      <alignment horizontal="center" vertical="center" wrapText="1"/>
    </xf>
    <xf numFmtId="0" fontId="207" fillId="0" borderId="14" xfId="0" applyFont="1" applyBorder="1" applyAlignment="1">
      <alignment horizontal="center" vertical="center" wrapText="1"/>
    </xf>
    <xf numFmtId="0" fontId="207" fillId="17" borderId="14" xfId="0" applyFont="1" applyFill="1" applyBorder="1" applyAlignment="1">
      <alignment vertical="center" wrapText="1"/>
    </xf>
    <xf numFmtId="168" fontId="207" fillId="0" borderId="41" xfId="1" applyNumberFormat="1" applyFont="1" applyBorder="1" applyAlignment="1">
      <alignment vertical="center"/>
    </xf>
    <xf numFmtId="0" fontId="208" fillId="0" borderId="0" xfId="0" applyFont="1" applyAlignment="1">
      <alignment horizontal="center" vertical="center" wrapText="1"/>
    </xf>
    <xf numFmtId="0" fontId="208" fillId="0" borderId="0" xfId="0" applyFont="1" applyAlignment="1">
      <alignment vertical="center"/>
    </xf>
    <xf numFmtId="0" fontId="208" fillId="0" borderId="0" xfId="0" applyFont="1" applyAlignment="1">
      <alignment vertical="center" wrapText="1"/>
    </xf>
    <xf numFmtId="168" fontId="208" fillId="0" borderId="0" xfId="1" applyNumberFormat="1" applyFont="1" applyAlignment="1">
      <alignment horizontal="center" vertical="center" wrapText="1"/>
    </xf>
    <xf numFmtId="0" fontId="144" fillId="17" borderId="14" xfId="0" applyFont="1" applyFill="1" applyBorder="1" applyAlignment="1">
      <alignment horizontal="center" vertical="center" wrapText="1" readingOrder="1"/>
    </xf>
    <xf numFmtId="0" fontId="144" fillId="17" borderId="41" xfId="0" applyFont="1" applyFill="1" applyBorder="1" applyAlignment="1">
      <alignment horizontal="center" vertical="center" wrapText="1" readingOrder="1"/>
    </xf>
    <xf numFmtId="168" fontId="144" fillId="17" borderId="41" xfId="0" applyNumberFormat="1" applyFont="1" applyFill="1" applyBorder="1" applyAlignment="1">
      <alignment horizontal="center" vertical="center" wrapText="1" readingOrder="1"/>
    </xf>
    <xf numFmtId="168" fontId="144" fillId="17" borderId="41" xfId="1" applyNumberFormat="1" applyFont="1" applyFill="1" applyBorder="1" applyAlignment="1">
      <alignment horizontal="center" vertical="center" wrapText="1" readingOrder="1"/>
    </xf>
    <xf numFmtId="0" fontId="144" fillId="17" borderId="41" xfId="0" applyFont="1" applyFill="1" applyBorder="1" applyAlignment="1">
      <alignment horizontal="center" vertical="center"/>
    </xf>
    <xf numFmtId="168" fontId="144" fillId="0" borderId="41" xfId="0" applyNumberFormat="1" applyFont="1" applyBorder="1" applyAlignment="1">
      <alignment horizontal="center" vertical="center"/>
    </xf>
    <xf numFmtId="0" fontId="216" fillId="0" borderId="14" xfId="0" applyNumberFormat="1" applyFont="1" applyFill="1" applyBorder="1" applyAlignment="1">
      <alignment horizontal="center" vertical="center" wrapText="1" readingOrder="1"/>
    </xf>
    <xf numFmtId="0" fontId="216" fillId="0" borderId="41" xfId="0" applyNumberFormat="1" applyFont="1" applyFill="1" applyBorder="1" applyAlignment="1">
      <alignment horizontal="center" vertical="center" wrapText="1" readingOrder="1"/>
    </xf>
    <xf numFmtId="0" fontId="33" fillId="0" borderId="41" xfId="0" applyNumberFormat="1" applyFont="1" applyFill="1" applyBorder="1" applyAlignment="1">
      <alignment horizontal="center" vertical="center" wrapText="1"/>
    </xf>
    <xf numFmtId="168" fontId="216" fillId="0" borderId="41" xfId="1" applyNumberFormat="1" applyFont="1" applyFill="1" applyBorder="1" applyAlignment="1">
      <alignment horizontal="center" vertical="center" wrapText="1" readingOrder="1"/>
    </xf>
    <xf numFmtId="0" fontId="216" fillId="0" borderId="29" xfId="0" applyNumberFormat="1" applyFont="1" applyFill="1" applyBorder="1" applyAlignment="1">
      <alignment horizontal="center" vertical="center" wrapText="1" readingOrder="1"/>
    </xf>
    <xf numFmtId="0" fontId="33" fillId="0" borderId="0" xfId="0" applyNumberFormat="1" applyFont="1" applyFill="1" applyBorder="1" applyAlignment="1">
      <alignment horizontal="center" vertical="center" wrapText="1"/>
    </xf>
    <xf numFmtId="168" fontId="216" fillId="0" borderId="0" xfId="1" applyNumberFormat="1" applyFont="1" applyFill="1" applyBorder="1" applyAlignment="1">
      <alignment horizontal="center" vertical="center" wrapText="1" readingOrder="1"/>
    </xf>
    <xf numFmtId="0" fontId="144" fillId="17" borderId="41" xfId="0" applyFont="1" applyFill="1" applyBorder="1" applyAlignment="1">
      <alignment horizontal="center" vertical="center" wrapText="1"/>
    </xf>
    <xf numFmtId="168" fontId="144" fillId="17" borderId="41" xfId="1" applyNumberFormat="1" applyFont="1" applyFill="1" applyBorder="1" applyAlignment="1">
      <alignment horizontal="center" vertical="center" wrapText="1"/>
    </xf>
    <xf numFmtId="3" fontId="144" fillId="0" borderId="41" xfId="0" applyNumberFormat="1" applyFont="1" applyBorder="1" applyAlignment="1">
      <alignment horizontal="center" vertical="center" wrapText="1"/>
    </xf>
    <xf numFmtId="0" fontId="205" fillId="16" borderId="89" xfId="0" applyNumberFormat="1" applyFont="1" applyFill="1" applyBorder="1" applyAlignment="1">
      <alignment horizontal="center" vertical="center" wrapText="1" readingOrder="1"/>
    </xf>
    <xf numFmtId="0" fontId="206" fillId="0" borderId="106" xfId="0" applyNumberFormat="1" applyFont="1" applyFill="1" applyBorder="1" applyAlignment="1">
      <alignment horizontal="center" vertical="center" wrapText="1" readingOrder="1"/>
    </xf>
    <xf numFmtId="0" fontId="202" fillId="0" borderId="87" xfId="0" applyFont="1" applyFill="1" applyBorder="1" applyAlignment="1">
      <alignment horizontal="center" vertical="center" wrapText="1" readingOrder="1"/>
    </xf>
    <xf numFmtId="0" fontId="202" fillId="0" borderId="88" xfId="0" applyFont="1" applyFill="1" applyBorder="1" applyAlignment="1">
      <alignment horizontal="center" vertical="center" wrapText="1" readingOrder="1"/>
    </xf>
    <xf numFmtId="0" fontId="202" fillId="0" borderId="87" xfId="0" applyFont="1" applyFill="1" applyBorder="1" applyAlignment="1">
      <alignment vertical="center" wrapText="1"/>
    </xf>
    <xf numFmtId="0" fontId="202" fillId="0" borderId="88" xfId="0" applyFont="1" applyFill="1" applyBorder="1" applyAlignment="1">
      <alignment vertical="center" wrapText="1"/>
    </xf>
    <xf numFmtId="0" fontId="206" fillId="0" borderId="87" xfId="0" applyNumberFormat="1" applyFont="1" applyFill="1" applyBorder="1" applyAlignment="1">
      <alignment horizontal="center" vertical="center" wrapText="1" readingOrder="1"/>
    </xf>
    <xf numFmtId="0" fontId="202" fillId="0" borderId="81" xfId="0" applyFont="1" applyFill="1" applyBorder="1" applyAlignment="1">
      <alignment horizontal="center" vertical="center" wrapText="1" readingOrder="1"/>
    </xf>
    <xf numFmtId="0" fontId="202" fillId="0" borderId="82" xfId="0" applyFont="1" applyFill="1" applyBorder="1" applyAlignment="1">
      <alignment horizontal="center" vertical="center" wrapText="1" readingOrder="1"/>
    </xf>
    <xf numFmtId="0" fontId="202" fillId="0" borderId="83" xfId="0" applyFont="1" applyFill="1" applyBorder="1" applyAlignment="1">
      <alignment horizontal="center" vertical="center" wrapText="1" readingOrder="1"/>
    </xf>
    <xf numFmtId="0" fontId="202" fillId="0" borderId="81" xfId="0" applyFont="1" applyFill="1" applyBorder="1" applyAlignment="1">
      <alignment vertical="center" wrapText="1"/>
    </xf>
    <xf numFmtId="0" fontId="202" fillId="0" borderId="83" xfId="0" applyFont="1" applyFill="1" applyBorder="1" applyAlignment="1">
      <alignment vertical="center" wrapText="1"/>
    </xf>
    <xf numFmtId="0" fontId="202" fillId="0" borderId="87" xfId="0" applyFont="1" applyFill="1" applyBorder="1" applyAlignment="1">
      <alignment horizontal="center" vertical="center" wrapText="1"/>
    </xf>
    <xf numFmtId="0" fontId="202" fillId="0" borderId="88" xfId="0" applyFont="1" applyFill="1" applyBorder="1" applyAlignment="1">
      <alignment horizontal="center" vertical="center" wrapText="1"/>
    </xf>
    <xf numFmtId="0" fontId="202" fillId="0" borderId="81" xfId="0" applyFont="1" applyFill="1" applyBorder="1" applyAlignment="1">
      <alignment horizontal="center" vertical="center" wrapText="1"/>
    </xf>
    <xf numFmtId="0" fontId="202" fillId="0" borderId="82" xfId="0" applyFont="1" applyFill="1" applyBorder="1" applyAlignment="1">
      <alignment horizontal="center" vertical="center" wrapText="1"/>
    </xf>
    <xf numFmtId="0" fontId="202" fillId="0" borderId="83" xfId="0" applyFont="1" applyFill="1" applyBorder="1" applyAlignment="1">
      <alignment horizontal="center" vertical="center" wrapText="1"/>
    </xf>
    <xf numFmtId="0" fontId="206" fillId="0" borderId="115" xfId="0" applyNumberFormat="1" applyFont="1" applyFill="1" applyBorder="1" applyAlignment="1">
      <alignment horizontal="center" vertical="center" wrapText="1" readingOrder="1"/>
    </xf>
    <xf numFmtId="0" fontId="202" fillId="0" borderId="116" xfId="0" applyFont="1" applyFill="1" applyBorder="1" applyAlignment="1">
      <alignment vertical="center" wrapText="1"/>
    </xf>
    <xf numFmtId="0" fontId="202" fillId="0" borderId="5" xfId="0" applyFont="1" applyFill="1" applyBorder="1" applyAlignment="1">
      <alignment vertical="center" wrapText="1"/>
    </xf>
    <xf numFmtId="0" fontId="202" fillId="0" borderId="117" xfId="0" applyFont="1" applyFill="1" applyBorder="1" applyAlignment="1">
      <alignment vertical="center" wrapText="1"/>
    </xf>
    <xf numFmtId="168" fontId="206" fillId="0" borderId="115" xfId="1" applyNumberFormat="1" applyFont="1" applyFill="1" applyBorder="1" applyAlignment="1">
      <alignment horizontal="center" vertical="center" wrapText="1" readingOrder="1"/>
    </xf>
    <xf numFmtId="168" fontId="206" fillId="0" borderId="90" xfId="1" applyNumberFormat="1" applyFont="1" applyFill="1" applyBorder="1" applyAlignment="1">
      <alignment horizontal="center" vertical="center" wrapText="1" readingOrder="1"/>
    </xf>
    <xf numFmtId="0" fontId="206" fillId="0" borderId="116" xfId="0" applyNumberFormat="1" applyFont="1" applyFill="1" applyBorder="1" applyAlignment="1">
      <alignment horizontal="center" vertical="center" wrapText="1" readingOrder="1"/>
    </xf>
    <xf numFmtId="0" fontId="207" fillId="17" borderId="41" xfId="0" applyFont="1" applyFill="1" applyBorder="1" applyAlignment="1">
      <alignment horizontal="center" vertical="center" wrapText="1"/>
    </xf>
    <xf numFmtId="168" fontId="207" fillId="17" borderId="41" xfId="1" applyNumberFormat="1" applyFont="1" applyFill="1" applyBorder="1" applyAlignment="1">
      <alignment horizontal="center" vertical="center" wrapText="1"/>
    </xf>
    <xf numFmtId="0" fontId="115" fillId="0" borderId="0" xfId="0" applyFont="1" applyBorder="1" applyAlignment="1">
      <alignment horizontal="center" vertical="center" wrapText="1"/>
    </xf>
    <xf numFmtId="168" fontId="115" fillId="0" borderId="0" xfId="0" applyNumberFormat="1" applyFont="1" applyAlignment="1">
      <alignment horizontal="center" vertical="center"/>
    </xf>
    <xf numFmtId="0" fontId="225" fillId="16" borderId="77" xfId="0" applyNumberFormat="1" applyFont="1" applyFill="1" applyBorder="1" applyAlignment="1">
      <alignment horizontal="center" vertical="center" wrapText="1" readingOrder="1"/>
    </xf>
    <xf numFmtId="168" fontId="225" fillId="16" borderId="77" xfId="1" applyNumberFormat="1" applyFont="1" applyFill="1" applyBorder="1" applyAlignment="1">
      <alignment horizontal="center" vertical="center" wrapText="1" readingOrder="1"/>
    </xf>
    <xf numFmtId="0" fontId="216" fillId="0" borderId="89" xfId="0" applyNumberFormat="1" applyFont="1" applyFill="1" applyBorder="1" applyAlignment="1">
      <alignment horizontal="center" vertical="center" wrapText="1" readingOrder="1"/>
    </xf>
    <xf numFmtId="168" fontId="216" fillId="0" borderId="89" xfId="1" applyNumberFormat="1" applyFont="1" applyFill="1" applyBorder="1" applyAlignment="1">
      <alignment horizontal="center" vertical="center" wrapText="1" readingOrder="1"/>
    </xf>
    <xf numFmtId="168" fontId="216" fillId="0" borderId="77" xfId="1" applyNumberFormat="1" applyFont="1" applyFill="1" applyBorder="1" applyAlignment="1">
      <alignment horizontal="center" vertical="center" wrapText="1" readingOrder="1"/>
    </xf>
    <xf numFmtId="0" fontId="216" fillId="0" borderId="86" xfId="0" applyNumberFormat="1" applyFont="1" applyFill="1" applyBorder="1" applyAlignment="1">
      <alignment horizontal="center" vertical="center" wrapText="1" readingOrder="1"/>
    </xf>
    <xf numFmtId="168" fontId="216" fillId="0" borderId="86" xfId="1" applyNumberFormat="1" applyFont="1" applyFill="1" applyBorder="1" applyAlignment="1">
      <alignment horizontal="center" vertical="center" wrapText="1" readingOrder="1"/>
    </xf>
    <xf numFmtId="168" fontId="144" fillId="0" borderId="41" xfId="0" applyNumberFormat="1" applyFont="1" applyBorder="1" applyAlignment="1">
      <alignment horizontal="center" vertical="center" wrapText="1"/>
    </xf>
    <xf numFmtId="0" fontId="210" fillId="0" borderId="0" xfId="0" applyFont="1" applyFill="1" applyBorder="1" applyAlignment="1">
      <alignment horizontal="center" vertical="center"/>
    </xf>
    <xf numFmtId="168" fontId="210" fillId="0" borderId="0" xfId="1" applyNumberFormat="1" applyFont="1" applyFill="1" applyBorder="1" applyAlignment="1">
      <alignment horizontal="center" vertical="center"/>
    </xf>
    <xf numFmtId="0" fontId="228" fillId="0" borderId="0" xfId="0" applyNumberFormat="1" applyFont="1" applyFill="1" applyBorder="1" applyAlignment="1">
      <alignment horizontal="center" vertical="center" wrapText="1" readingOrder="1"/>
    </xf>
    <xf numFmtId="0" fontId="108" fillId="0" borderId="1" xfId="0" applyFont="1" applyBorder="1"/>
    <xf numFmtId="0" fontId="108" fillId="0" borderId="1" xfId="0" applyFont="1" applyBorder="1" applyAlignment="1">
      <alignment wrapText="1"/>
    </xf>
    <xf numFmtId="0" fontId="0" fillId="0" borderId="1" xfId="0" applyBorder="1" applyAlignment="1">
      <alignment wrapText="1"/>
    </xf>
    <xf numFmtId="167" fontId="197" fillId="0" borderId="35" xfId="1" applyNumberFormat="1" applyFont="1" applyFill="1" applyBorder="1" applyAlignment="1">
      <alignment horizontal="center"/>
    </xf>
    <xf numFmtId="167" fontId="188" fillId="0" borderId="16" xfId="1" quotePrefix="1" applyNumberFormat="1" applyFont="1" applyBorder="1" applyAlignment="1">
      <alignment horizontal="center"/>
    </xf>
    <xf numFmtId="167" fontId="188" fillId="0" borderId="35" xfId="1" quotePrefix="1" applyNumberFormat="1" applyFont="1" applyBorder="1" applyAlignment="1">
      <alignment horizontal="center"/>
    </xf>
    <xf numFmtId="167" fontId="189" fillId="0" borderId="16" xfId="1" applyNumberFormat="1" applyFont="1" applyFill="1" applyBorder="1" applyAlignment="1">
      <alignment horizontal="left"/>
    </xf>
    <xf numFmtId="0" fontId="189" fillId="18" borderId="1" xfId="0" applyFont="1" applyFill="1" applyBorder="1"/>
    <xf numFmtId="167" fontId="189" fillId="0" borderId="0" xfId="1" applyNumberFormat="1" applyFont="1" applyBorder="1"/>
    <xf numFmtId="167" fontId="193" fillId="24" borderId="11" xfId="1" applyNumberFormat="1" applyFont="1" applyFill="1" applyBorder="1" applyAlignment="1">
      <alignment horizontal="center"/>
    </xf>
    <xf numFmtId="167" fontId="193" fillId="25" borderId="11" xfId="1" applyNumberFormat="1" applyFont="1" applyFill="1" applyBorder="1" applyAlignment="1">
      <alignment horizontal="center" vertical="center" wrapText="1"/>
    </xf>
    <xf numFmtId="167" fontId="194" fillId="8" borderId="16" xfId="1" applyNumberFormat="1" applyFont="1" applyFill="1" applyBorder="1" applyAlignment="1" applyProtection="1">
      <alignment horizontal="center"/>
      <protection hidden="1"/>
    </xf>
    <xf numFmtId="167" fontId="192" fillId="24" borderId="30" xfId="1" applyNumberFormat="1" applyFont="1" applyFill="1" applyBorder="1" applyAlignment="1">
      <alignment horizontal="center"/>
    </xf>
    <xf numFmtId="167" fontId="192" fillId="25" borderId="30" xfId="1" applyNumberFormat="1" applyFont="1" applyFill="1" applyBorder="1" applyAlignment="1">
      <alignment horizontal="center" vertical="center" wrapText="1"/>
    </xf>
    <xf numFmtId="167" fontId="195" fillId="8" borderId="41" xfId="1" applyNumberFormat="1" applyFont="1" applyFill="1" applyBorder="1" applyAlignment="1" applyProtection="1">
      <alignment horizontal="center"/>
      <protection hidden="1"/>
    </xf>
    <xf numFmtId="167" fontId="195" fillId="8" borderId="43" xfId="1" applyNumberFormat="1" applyFont="1" applyFill="1" applyBorder="1" applyAlignment="1" applyProtection="1">
      <alignment horizontal="center"/>
      <protection hidden="1"/>
    </xf>
    <xf numFmtId="167" fontId="195" fillId="0" borderId="59" xfId="1" applyNumberFormat="1" applyFont="1" applyFill="1" applyBorder="1" applyAlignment="1" applyProtection="1">
      <alignment horizontal="center"/>
      <protection hidden="1"/>
    </xf>
    <xf numFmtId="167" fontId="195" fillId="0" borderId="57" xfId="1" applyNumberFormat="1" applyFont="1" applyFill="1" applyBorder="1" applyAlignment="1" applyProtection="1">
      <alignment horizontal="center"/>
      <protection hidden="1"/>
    </xf>
    <xf numFmtId="167" fontId="195" fillId="0" borderId="24" xfId="1" applyNumberFormat="1" applyFont="1" applyFill="1" applyBorder="1" applyAlignment="1" applyProtection="1">
      <alignment horizontal="center"/>
      <protection hidden="1"/>
    </xf>
    <xf numFmtId="3" fontId="194" fillId="24" borderId="12" xfId="4" applyNumberFormat="1" applyFont="1" applyFill="1" applyBorder="1" applyAlignment="1">
      <alignment horizontal="center" vertical="center" wrapText="1"/>
    </xf>
    <xf numFmtId="167" fontId="196" fillId="24" borderId="11" xfId="1" applyNumberFormat="1" applyFont="1" applyFill="1" applyBorder="1" applyAlignment="1">
      <alignment horizontal="center"/>
    </xf>
    <xf numFmtId="167" fontId="196" fillId="25" borderId="11" xfId="1" applyNumberFormat="1" applyFont="1" applyFill="1" applyBorder="1" applyAlignment="1">
      <alignment horizontal="center" vertical="center" wrapText="1"/>
    </xf>
    <xf numFmtId="167" fontId="198" fillId="8" borderId="15" xfId="1" applyNumberFormat="1" applyFont="1" applyFill="1" applyBorder="1" applyAlignment="1" applyProtection="1">
      <alignment horizontal="center"/>
      <protection hidden="1"/>
    </xf>
    <xf numFmtId="167" fontId="198" fillId="0" borderId="73" xfId="1" applyNumberFormat="1" applyFont="1" applyFill="1" applyBorder="1" applyAlignment="1" applyProtection="1">
      <alignment horizontal="center"/>
      <protection hidden="1"/>
    </xf>
    <xf numFmtId="167" fontId="198" fillId="8" borderId="2" xfId="1" applyNumberFormat="1" applyFont="1" applyFill="1" applyBorder="1" applyAlignment="1" applyProtection="1">
      <alignment horizontal="center"/>
      <protection hidden="1"/>
    </xf>
    <xf numFmtId="167" fontId="198" fillId="0" borderId="2" xfId="1" applyNumberFormat="1" applyFont="1" applyFill="1" applyBorder="1" applyAlignment="1" applyProtection="1">
      <alignment horizontal="center"/>
      <protection hidden="1"/>
    </xf>
    <xf numFmtId="167" fontId="198" fillId="8" borderId="74" xfId="1" applyNumberFormat="1" applyFont="1" applyFill="1" applyBorder="1" applyAlignment="1" applyProtection="1">
      <alignment horizontal="center"/>
      <protection hidden="1"/>
    </xf>
    <xf numFmtId="0" fontId="142" fillId="26" borderId="77" xfId="0" applyNumberFormat="1" applyFont="1" applyFill="1" applyBorder="1" applyAlignment="1">
      <alignment horizontal="center" vertical="top" wrapText="1" readingOrder="1"/>
    </xf>
    <xf numFmtId="0" fontId="230" fillId="27" borderId="79" xfId="0" applyNumberFormat="1" applyFont="1" applyFill="1" applyBorder="1" applyAlignment="1">
      <alignment horizontal="center" vertical="top"/>
    </xf>
    <xf numFmtId="0" fontId="142" fillId="26" borderId="89" xfId="0" applyNumberFormat="1" applyFont="1" applyFill="1" applyBorder="1" applyAlignment="1">
      <alignment horizontal="center" vertical="top" wrapText="1" readingOrder="1"/>
    </xf>
    <xf numFmtId="0" fontId="141" fillId="0" borderId="79" xfId="0" applyNumberFormat="1" applyFont="1" applyFill="1" applyBorder="1" applyAlignment="1">
      <alignment vertical="top" wrapText="1"/>
    </xf>
    <xf numFmtId="167" fontId="143" fillId="0" borderId="95" xfId="1" applyNumberFormat="1" applyFont="1" applyFill="1" applyBorder="1" applyAlignment="1">
      <alignment horizontal="right" vertical="top" wrapText="1" readingOrder="1"/>
    </xf>
    <xf numFmtId="167" fontId="143" fillId="0" borderId="1" xfId="1" applyNumberFormat="1" applyFont="1" applyFill="1" applyBorder="1" applyAlignment="1">
      <alignment horizontal="right" vertical="top" wrapText="1" readingOrder="1"/>
    </xf>
    <xf numFmtId="0" fontId="141" fillId="0" borderId="85" xfId="0" applyNumberFormat="1" applyFont="1" applyFill="1" applyBorder="1" applyAlignment="1">
      <alignment vertical="top" wrapText="1"/>
    </xf>
    <xf numFmtId="0" fontId="141" fillId="0" borderId="82" xfId="0" applyNumberFormat="1" applyFont="1" applyFill="1" applyBorder="1" applyAlignment="1">
      <alignment vertical="top" wrapText="1"/>
    </xf>
    <xf numFmtId="0" fontId="143" fillId="0" borderId="89" xfId="0" applyNumberFormat="1" applyFont="1" applyFill="1" applyBorder="1" applyAlignment="1">
      <alignment horizontal="left" vertical="top" wrapText="1" readingOrder="1"/>
    </xf>
    <xf numFmtId="0" fontId="143" fillId="0" borderId="1" xfId="0" applyNumberFormat="1" applyFont="1" applyFill="1" applyBorder="1" applyAlignment="1">
      <alignment horizontal="left" vertical="top" wrapText="1" readingOrder="1"/>
    </xf>
    <xf numFmtId="0" fontId="141" fillId="0" borderId="1" xfId="0" applyNumberFormat="1" applyFont="1" applyFill="1" applyBorder="1" applyAlignment="1">
      <alignment vertical="top" wrapText="1"/>
    </xf>
    <xf numFmtId="0" fontId="141" fillId="0" borderId="1" xfId="0" applyFont="1" applyFill="1" applyBorder="1"/>
    <xf numFmtId="0" fontId="141" fillId="0" borderId="1" xfId="0" applyFont="1" applyFill="1" applyBorder="1" applyAlignment="1">
      <alignment horizontal="left"/>
    </xf>
    <xf numFmtId="167" fontId="193" fillId="24" borderId="11" xfId="3" applyNumberFormat="1" applyFont="1" applyFill="1" applyBorder="1" applyAlignment="1">
      <alignment horizontal="center"/>
    </xf>
    <xf numFmtId="167" fontId="193" fillId="25" borderId="11" xfId="3" applyNumberFormat="1" applyFont="1" applyFill="1" applyBorder="1" applyAlignment="1">
      <alignment horizontal="center" vertical="center" wrapText="1"/>
    </xf>
    <xf numFmtId="167" fontId="197" fillId="0" borderId="15" xfId="3" applyNumberFormat="1" applyFont="1" applyFill="1" applyBorder="1" applyAlignment="1">
      <alignment horizontal="center"/>
    </xf>
    <xf numFmtId="167" fontId="189" fillId="0" borderId="5" xfId="3" applyNumberFormat="1" applyFont="1" applyFill="1" applyBorder="1"/>
    <xf numFmtId="167" fontId="194" fillId="0" borderId="16" xfId="3" applyNumberFormat="1" applyFont="1" applyFill="1" applyBorder="1" applyAlignment="1" applyProtection="1">
      <alignment horizontal="center"/>
      <protection hidden="1"/>
    </xf>
    <xf numFmtId="167" fontId="197" fillId="0" borderId="16" xfId="3" applyNumberFormat="1" applyFont="1" applyFill="1" applyBorder="1" applyAlignment="1">
      <alignment horizontal="center"/>
    </xf>
    <xf numFmtId="167" fontId="189" fillId="0" borderId="41" xfId="3" applyNumberFormat="1" applyFont="1" applyFill="1" applyBorder="1"/>
    <xf numFmtId="167" fontId="194" fillId="8" borderId="16" xfId="3" applyNumberFormat="1" applyFont="1" applyFill="1" applyBorder="1" applyAlignment="1" applyProtection="1">
      <alignment horizontal="center"/>
      <protection hidden="1"/>
    </xf>
    <xf numFmtId="167" fontId="197" fillId="0" borderId="11" xfId="3" applyNumberFormat="1" applyFont="1" applyFill="1" applyBorder="1" applyAlignment="1">
      <alignment horizontal="center"/>
    </xf>
    <xf numFmtId="167" fontId="189" fillId="0" borderId="30" xfId="3" applyNumberFormat="1" applyFont="1" applyFill="1" applyBorder="1" applyAlignment="1">
      <alignment horizontal="center"/>
    </xf>
    <xf numFmtId="167" fontId="194" fillId="0" borderId="11" xfId="3" applyNumberFormat="1" applyFont="1" applyFill="1" applyBorder="1" applyAlignment="1" applyProtection="1">
      <alignment horizontal="center"/>
      <protection hidden="1"/>
    </xf>
    <xf numFmtId="167" fontId="194" fillId="0" borderId="15" xfId="3" applyNumberFormat="1" applyFont="1" applyFill="1" applyBorder="1" applyAlignment="1" applyProtection="1">
      <alignment horizontal="center"/>
      <protection hidden="1"/>
    </xf>
    <xf numFmtId="167" fontId="189" fillId="0" borderId="43" xfId="3" applyNumberFormat="1" applyFont="1" applyFill="1" applyBorder="1"/>
    <xf numFmtId="167" fontId="189" fillId="0" borderId="5" xfId="3" applyNumberFormat="1" applyFont="1" applyFill="1" applyBorder="1" applyProtection="1">
      <protection hidden="1"/>
    </xf>
    <xf numFmtId="167" fontId="189" fillId="0" borderId="41" xfId="3" applyNumberFormat="1" applyFont="1" applyFill="1" applyBorder="1" applyProtection="1">
      <protection hidden="1"/>
    </xf>
    <xf numFmtId="167" fontId="189" fillId="0" borderId="43" xfId="3" applyNumberFormat="1" applyFont="1" applyFill="1" applyBorder="1" applyProtection="1">
      <protection hidden="1"/>
    </xf>
    <xf numFmtId="167" fontId="189" fillId="0" borderId="30" xfId="3" applyNumberFormat="1" applyFont="1" applyFill="1" applyBorder="1" applyAlignment="1" applyProtection="1">
      <alignment horizontal="center"/>
      <protection hidden="1"/>
    </xf>
    <xf numFmtId="167" fontId="189" fillId="0" borderId="5" xfId="3" applyNumberFormat="1" applyFont="1" applyFill="1" applyBorder="1" applyAlignment="1">
      <alignment horizontal="left"/>
    </xf>
    <xf numFmtId="167" fontId="189" fillId="0" borderId="41" xfId="3" applyNumberFormat="1" applyFont="1" applyFill="1" applyBorder="1" applyAlignment="1">
      <alignment horizontal="left"/>
    </xf>
    <xf numFmtId="167" fontId="189" fillId="0" borderId="16" xfId="3" applyNumberFormat="1" applyFont="1" applyFill="1" applyBorder="1" applyAlignment="1">
      <alignment horizontal="left"/>
    </xf>
    <xf numFmtId="167" fontId="197" fillId="0" borderId="35" xfId="3" applyNumberFormat="1" applyFont="1" applyFill="1" applyBorder="1" applyAlignment="1">
      <alignment horizontal="center"/>
    </xf>
    <xf numFmtId="0" fontId="189" fillId="18" borderId="1" xfId="6" applyFont="1" applyFill="1" applyBorder="1"/>
    <xf numFmtId="167" fontId="197" fillId="0" borderId="11" xfId="3" applyNumberFormat="1" applyFont="1" applyFill="1" applyBorder="1" applyAlignment="1">
      <alignment horizontal="center" vertical="center"/>
    </xf>
    <xf numFmtId="167" fontId="194" fillId="0" borderId="11" xfId="3" applyNumberFormat="1" applyFont="1" applyFill="1" applyBorder="1" applyAlignment="1" applyProtection="1">
      <alignment horizontal="center" vertical="center"/>
      <protection hidden="1"/>
    </xf>
    <xf numFmtId="167" fontId="189" fillId="0" borderId="30" xfId="3" applyNumberFormat="1" applyFont="1" applyFill="1" applyBorder="1" applyAlignment="1">
      <alignment horizontal="left"/>
    </xf>
    <xf numFmtId="167" fontId="189" fillId="0" borderId="35" xfId="3" applyNumberFormat="1" applyFont="1" applyFill="1" applyBorder="1" applyAlignment="1">
      <alignment horizontal="center"/>
    </xf>
    <xf numFmtId="167" fontId="189" fillId="0" borderId="0" xfId="3" applyNumberFormat="1" applyFont="1" applyFill="1" applyBorder="1" applyAlignment="1">
      <alignment horizontal="left"/>
    </xf>
    <xf numFmtId="167" fontId="194" fillId="0" borderId="35" xfId="3" applyNumberFormat="1" applyFont="1" applyFill="1" applyBorder="1" applyAlignment="1" applyProtection="1">
      <alignment horizontal="center"/>
      <protection hidden="1"/>
    </xf>
    <xf numFmtId="167" fontId="197" fillId="0" borderId="11" xfId="3" applyNumberFormat="1" applyFont="1" applyFill="1" applyBorder="1" applyAlignment="1"/>
    <xf numFmtId="167" fontId="189" fillId="0" borderId="30" xfId="3" applyNumberFormat="1" applyFont="1" applyFill="1" applyBorder="1" applyAlignment="1"/>
    <xf numFmtId="167" fontId="197" fillId="0" borderId="18" xfId="3" applyNumberFormat="1" applyFont="1" applyFill="1" applyBorder="1" applyAlignment="1">
      <alignment horizontal="center"/>
    </xf>
    <xf numFmtId="167" fontId="189" fillId="0" borderId="43" xfId="3" applyNumberFormat="1" applyFont="1" applyFill="1" applyBorder="1" applyAlignment="1">
      <alignment horizontal="left"/>
    </xf>
    <xf numFmtId="167" fontId="194" fillId="0" borderId="18" xfId="3" applyNumberFormat="1" applyFont="1" applyFill="1" applyBorder="1" applyAlignment="1" applyProtection="1">
      <alignment horizontal="center"/>
      <protection hidden="1"/>
    </xf>
    <xf numFmtId="167" fontId="197" fillId="0" borderId="11" xfId="3" applyNumberFormat="1" applyFont="1" applyFill="1" applyBorder="1" applyAlignment="1">
      <alignment horizontal="center" vertical="center" wrapText="1"/>
    </xf>
    <xf numFmtId="167" fontId="188" fillId="0" borderId="15" xfId="3" applyNumberFormat="1" applyFont="1" applyFill="1" applyBorder="1" applyAlignment="1">
      <alignment horizontal="center"/>
    </xf>
    <xf numFmtId="167" fontId="188" fillId="0" borderId="16" xfId="3" quotePrefix="1" applyNumberFormat="1" applyFont="1" applyBorder="1" applyAlignment="1">
      <alignment horizontal="center"/>
    </xf>
    <xf numFmtId="167" fontId="189" fillId="0" borderId="41" xfId="3" applyNumberFormat="1" applyFont="1" applyBorder="1"/>
    <xf numFmtId="167" fontId="188" fillId="0" borderId="15" xfId="3" quotePrefix="1" applyNumberFormat="1" applyFont="1" applyBorder="1" applyAlignment="1">
      <alignment horizontal="center"/>
    </xf>
    <xf numFmtId="167" fontId="189" fillId="0" borderId="5" xfId="3" applyNumberFormat="1" applyFont="1" applyBorder="1"/>
    <xf numFmtId="167" fontId="188" fillId="0" borderId="34" xfId="3" quotePrefix="1" applyNumberFormat="1" applyFont="1" applyBorder="1" applyAlignment="1">
      <alignment horizontal="center"/>
    </xf>
    <xf numFmtId="167" fontId="189" fillId="0" borderId="27" xfId="3" applyNumberFormat="1" applyFont="1" applyBorder="1"/>
    <xf numFmtId="167" fontId="194" fillId="0" borderId="34" xfId="3" applyNumberFormat="1" applyFont="1" applyFill="1" applyBorder="1" applyAlignment="1" applyProtection="1">
      <alignment horizontal="center"/>
      <protection hidden="1"/>
    </xf>
    <xf numFmtId="167" fontId="88" fillId="15" borderId="1" xfId="1" applyNumberFormat="1" applyFont="1" applyFill="1" applyBorder="1" applyAlignment="1">
      <alignment horizontal="center"/>
    </xf>
    <xf numFmtId="0" fontId="31" fillId="0" borderId="0" xfId="0" applyFont="1" applyAlignment="1">
      <alignment horizontal="center" vertical="center"/>
    </xf>
    <xf numFmtId="0" fontId="33" fillId="0" borderId="0" xfId="0" applyFont="1" applyAlignment="1">
      <alignment horizontal="center"/>
    </xf>
    <xf numFmtId="167" fontId="44" fillId="0" borderId="14" xfId="1" applyNumberFormat="1" applyFont="1" applyBorder="1" applyAlignment="1">
      <alignment horizontal="center" vertical="center"/>
    </xf>
    <xf numFmtId="167" fontId="44" fillId="0" borderId="41" xfId="1" applyNumberFormat="1" applyFont="1" applyBorder="1" applyAlignment="1">
      <alignment horizontal="center" vertical="center"/>
    </xf>
    <xf numFmtId="167" fontId="44" fillId="0" borderId="29" xfId="1" applyNumberFormat="1" applyFont="1" applyBorder="1" applyAlignment="1">
      <alignment horizontal="center" vertical="center"/>
    </xf>
    <xf numFmtId="0" fontId="34" fillId="0" borderId="21" xfId="0" applyFont="1" applyBorder="1" applyAlignment="1">
      <alignment horizontal="center"/>
    </xf>
    <xf numFmtId="0" fontId="34" fillId="0" borderId="22" xfId="0" applyFont="1" applyBorder="1" applyAlignment="1">
      <alignment horizontal="center"/>
    </xf>
    <xf numFmtId="0" fontId="34" fillId="0" borderId="12" xfId="0" applyFont="1" applyBorder="1" applyAlignment="1">
      <alignment horizontal="center"/>
    </xf>
    <xf numFmtId="0" fontId="34" fillId="0" borderId="30" xfId="0" applyFont="1" applyBorder="1" applyAlignment="1">
      <alignment horizontal="center"/>
    </xf>
    <xf numFmtId="3" fontId="106" fillId="0" borderId="0" xfId="0" applyNumberFormat="1" applyFont="1" applyBorder="1" applyAlignment="1">
      <alignment horizontal="center"/>
    </xf>
    <xf numFmtId="0" fontId="127" fillId="0" borderId="14" xfId="0" applyFont="1" applyBorder="1" applyAlignment="1">
      <alignment horizontal="left"/>
    </xf>
    <xf numFmtId="0" fontId="127" fillId="0" borderId="29" xfId="0" applyFont="1" applyBorder="1" applyAlignment="1">
      <alignment horizontal="left"/>
    </xf>
    <xf numFmtId="0" fontId="143" fillId="0" borderId="77" xfId="0" applyNumberFormat="1" applyFont="1" applyFill="1" applyBorder="1" applyAlignment="1">
      <alignment horizontal="center" vertical="center" wrapText="1" readingOrder="1"/>
    </xf>
    <xf numFmtId="0" fontId="141" fillId="0" borderId="78" xfId="0" applyNumberFormat="1" applyFont="1" applyFill="1" applyBorder="1" applyAlignment="1">
      <alignment horizontal="center" vertical="center" wrapText="1"/>
    </xf>
    <xf numFmtId="0" fontId="141" fillId="0" borderId="79" xfId="0" applyNumberFormat="1" applyFont="1" applyFill="1" applyBorder="1" applyAlignment="1">
      <alignment horizontal="center" vertical="center" wrapText="1"/>
    </xf>
    <xf numFmtId="168" fontId="143" fillId="0" borderId="77" xfId="1" applyNumberFormat="1" applyFont="1" applyFill="1" applyBorder="1" applyAlignment="1">
      <alignment horizontal="center" vertical="center" wrapText="1" readingOrder="1"/>
    </xf>
    <xf numFmtId="168" fontId="141" fillId="0" borderId="78" xfId="1" applyNumberFormat="1" applyFont="1" applyFill="1" applyBorder="1" applyAlignment="1">
      <alignment horizontal="center" vertical="center" wrapText="1"/>
    </xf>
    <xf numFmtId="168" fontId="141" fillId="0" borderId="79" xfId="1"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readingOrder="1"/>
    </xf>
    <xf numFmtId="168" fontId="28" fillId="0" borderId="14" xfId="1" applyNumberFormat="1" applyFont="1" applyFill="1" applyBorder="1" applyAlignment="1">
      <alignment horizontal="center" vertical="center" wrapText="1" readingOrder="1"/>
    </xf>
    <xf numFmtId="168" fontId="28" fillId="0" borderId="41" xfId="1" applyNumberFormat="1" applyFont="1" applyFill="1" applyBorder="1" applyAlignment="1">
      <alignment horizontal="center" vertical="center" wrapText="1" readingOrder="1"/>
    </xf>
    <xf numFmtId="168" fontId="28" fillId="0" borderId="29" xfId="1" applyNumberFormat="1" applyFont="1" applyFill="1" applyBorder="1" applyAlignment="1">
      <alignment horizontal="center" vertical="center" wrapText="1" readingOrder="1"/>
    </xf>
    <xf numFmtId="0" fontId="162" fillId="0" borderId="0" xfId="0" applyNumberFormat="1" applyFont="1" applyFill="1" applyBorder="1" applyAlignment="1">
      <alignment horizontal="center" vertical="center" wrapText="1" readingOrder="1"/>
    </xf>
    <xf numFmtId="0" fontId="162" fillId="0" borderId="0" xfId="0" applyFont="1" applyFill="1" applyBorder="1" applyAlignment="1">
      <alignment horizontal="center" vertical="center"/>
    </xf>
    <xf numFmtId="0" fontId="40" fillId="0" borderId="0" xfId="0" applyNumberFormat="1" applyFont="1" applyFill="1" applyBorder="1" applyAlignment="1">
      <alignment horizontal="center" vertical="center" wrapText="1" readingOrder="1"/>
    </xf>
    <xf numFmtId="0" fontId="84" fillId="0" borderId="0" xfId="0" applyFont="1" applyFill="1" applyBorder="1" applyAlignment="1">
      <alignment horizontal="center" vertical="center"/>
    </xf>
    <xf numFmtId="0" fontId="90" fillId="0" borderId="0" xfId="0" applyNumberFormat="1" applyFont="1" applyFill="1" applyBorder="1" applyAlignment="1">
      <alignment horizontal="center" vertical="center" wrapText="1" readingOrder="1"/>
    </xf>
    <xf numFmtId="0" fontId="142" fillId="16" borderId="77" xfId="0" applyNumberFormat="1" applyFont="1" applyFill="1" applyBorder="1" applyAlignment="1">
      <alignment horizontal="center" vertical="center" wrapText="1" readingOrder="1"/>
    </xf>
    <xf numFmtId="0" fontId="121" fillId="0" borderId="1" xfId="0" applyNumberFormat="1" applyFont="1" applyFill="1" applyBorder="1" applyAlignment="1">
      <alignment horizontal="center" vertical="center" wrapText="1" readingOrder="1"/>
    </xf>
    <xf numFmtId="168" fontId="121" fillId="0" borderId="14" xfId="1" applyNumberFormat="1" applyFont="1" applyFill="1" applyBorder="1" applyAlignment="1">
      <alignment horizontal="center" vertical="center" wrapText="1" readingOrder="1"/>
    </xf>
    <xf numFmtId="168" fontId="121" fillId="0" borderId="41" xfId="1" applyNumberFormat="1" applyFont="1" applyFill="1" applyBorder="1" applyAlignment="1">
      <alignment horizontal="center" vertical="center" wrapText="1" readingOrder="1"/>
    </xf>
    <xf numFmtId="168" fontId="121" fillId="0" borderId="29" xfId="1" applyNumberFormat="1" applyFont="1" applyFill="1" applyBorder="1" applyAlignment="1">
      <alignment horizontal="center" vertical="center" wrapText="1" readingOrder="1"/>
    </xf>
    <xf numFmtId="0" fontId="136" fillId="0" borderId="0" xfId="0" applyNumberFormat="1" applyFont="1" applyFill="1" applyBorder="1" applyAlignment="1">
      <alignment horizontal="center" vertical="center" wrapText="1" readingOrder="1"/>
    </xf>
    <xf numFmtId="0" fontId="136" fillId="0" borderId="0" xfId="0" applyFont="1" applyFill="1" applyBorder="1" applyAlignment="1">
      <alignment horizontal="center" vertical="center"/>
    </xf>
    <xf numFmtId="0" fontId="139" fillId="0" borderId="0" xfId="0" applyNumberFormat="1" applyFont="1" applyFill="1" applyBorder="1" applyAlignment="1">
      <alignment horizontal="center" vertical="center" wrapText="1" readingOrder="1"/>
    </xf>
    <xf numFmtId="0" fontId="137" fillId="0" borderId="0" xfId="0" applyFont="1" applyFill="1" applyBorder="1" applyAlignment="1">
      <alignment horizontal="center" vertical="center"/>
    </xf>
    <xf numFmtId="0" fontId="140" fillId="0" borderId="0" xfId="0" applyNumberFormat="1" applyFont="1" applyFill="1" applyBorder="1" applyAlignment="1">
      <alignment horizontal="center" vertical="center" wrapText="1" readingOrder="1"/>
    </xf>
    <xf numFmtId="0" fontId="143" fillId="0" borderId="77" xfId="0" applyNumberFormat="1" applyFont="1" applyFill="1" applyBorder="1" applyAlignment="1">
      <alignment horizontal="left" vertical="top" wrapText="1" readingOrder="1"/>
    </xf>
    <xf numFmtId="0" fontId="141" fillId="0" borderId="78" xfId="0" applyNumberFormat="1" applyFont="1" applyFill="1" applyBorder="1" applyAlignment="1">
      <alignment vertical="top" wrapText="1"/>
    </xf>
    <xf numFmtId="0" fontId="141" fillId="0" borderId="79" xfId="0" applyNumberFormat="1" applyFont="1" applyFill="1" applyBorder="1" applyAlignment="1">
      <alignment vertical="top" wrapText="1"/>
    </xf>
    <xf numFmtId="168" fontId="143" fillId="0" borderId="77" xfId="1" applyNumberFormat="1" applyFont="1" applyFill="1" applyBorder="1" applyAlignment="1">
      <alignment horizontal="right" vertical="top" wrapText="1" readingOrder="1"/>
    </xf>
    <xf numFmtId="168" fontId="141" fillId="0" borderId="78" xfId="1" applyNumberFormat="1" applyFont="1" applyFill="1" applyBorder="1" applyAlignment="1">
      <alignment vertical="top" wrapText="1"/>
    </xf>
    <xf numFmtId="168" fontId="141" fillId="0" borderId="79" xfId="1" applyNumberFormat="1" applyFont="1" applyFill="1" applyBorder="1" applyAlignment="1">
      <alignment vertical="top" wrapText="1"/>
    </xf>
    <xf numFmtId="0" fontId="149" fillId="0" borderId="0" xfId="0" applyNumberFormat="1" applyFont="1" applyFill="1" applyBorder="1" applyAlignment="1">
      <alignment horizontal="center" vertical="center" wrapText="1" readingOrder="1"/>
    </xf>
    <xf numFmtId="0" fontId="150" fillId="0" borderId="0" xfId="0" applyNumberFormat="1" applyFont="1" applyFill="1" applyBorder="1" applyAlignment="1">
      <alignment horizontal="center" vertical="center" wrapText="1" readingOrder="1"/>
    </xf>
    <xf numFmtId="0" fontId="142" fillId="16" borderId="77" xfId="0" applyNumberFormat="1" applyFont="1" applyFill="1" applyBorder="1" applyAlignment="1">
      <alignment horizontal="center" vertical="top" wrapText="1" readingOrder="1"/>
    </xf>
    <xf numFmtId="0" fontId="146" fillId="16" borderId="1" xfId="0" applyNumberFormat="1" applyFont="1" applyFill="1" applyBorder="1" applyAlignment="1">
      <alignment horizontal="center" vertical="center" wrapText="1" readingOrder="1"/>
    </xf>
    <xf numFmtId="0" fontId="153" fillId="0" borderId="1" xfId="0" applyNumberFormat="1" applyFont="1" applyFill="1" applyBorder="1" applyAlignment="1">
      <alignment horizontal="center" vertical="center" wrapText="1"/>
    </xf>
    <xf numFmtId="168" fontId="146" fillId="16" borderId="14" xfId="1" applyNumberFormat="1" applyFont="1" applyFill="1" applyBorder="1" applyAlignment="1">
      <alignment horizontal="center" vertical="center" wrapText="1" readingOrder="1"/>
    </xf>
    <xf numFmtId="168" fontId="146" fillId="16" borderId="41" xfId="1" applyNumberFormat="1" applyFont="1" applyFill="1" applyBorder="1" applyAlignment="1">
      <alignment horizontal="center" vertical="center" wrapText="1" readingOrder="1"/>
    </xf>
    <xf numFmtId="168" fontId="146" fillId="16" borderId="29" xfId="1" applyNumberFormat="1" applyFont="1" applyFill="1" applyBorder="1" applyAlignment="1">
      <alignment horizontal="center" vertical="center" wrapText="1" readingOrder="1"/>
    </xf>
    <xf numFmtId="0" fontId="143" fillId="0" borderId="77" xfId="0" applyNumberFormat="1" applyFont="1" applyFill="1" applyBorder="1" applyAlignment="1">
      <alignment horizontal="center" vertical="center" wrapText="1"/>
    </xf>
    <xf numFmtId="168" fontId="143" fillId="0" borderId="77" xfId="1" applyNumberFormat="1" applyFont="1" applyFill="1" applyBorder="1" applyAlignment="1">
      <alignment horizontal="center" vertical="center" wrapText="1"/>
    </xf>
    <xf numFmtId="0" fontId="142" fillId="16" borderId="77" xfId="0" applyNumberFormat="1" applyFont="1" applyFill="1" applyBorder="1" applyAlignment="1">
      <alignment horizontal="center" vertical="center" wrapText="1"/>
    </xf>
    <xf numFmtId="0" fontId="152" fillId="0" borderId="78" xfId="0" applyNumberFormat="1" applyFont="1" applyFill="1" applyBorder="1" applyAlignment="1">
      <alignment horizontal="center" vertical="center" wrapText="1"/>
    </xf>
    <xf numFmtId="0" fontId="152" fillId="0" borderId="79" xfId="0" applyNumberFormat="1" applyFont="1" applyFill="1" applyBorder="1" applyAlignment="1">
      <alignment horizontal="center" vertical="center" wrapText="1"/>
    </xf>
    <xf numFmtId="0" fontId="121" fillId="0" borderId="10" xfId="0" applyNumberFormat="1" applyFont="1" applyFill="1" applyBorder="1" applyAlignment="1">
      <alignment horizontal="center" vertical="center" wrapText="1" readingOrder="1"/>
    </xf>
    <xf numFmtId="168" fontId="121" fillId="0" borderId="9" xfId="1" applyNumberFormat="1" applyFont="1" applyFill="1" applyBorder="1" applyAlignment="1">
      <alignment horizontal="center" vertical="center" wrapText="1" readingOrder="1"/>
    </xf>
    <xf numFmtId="168" fontId="121" fillId="0" borderId="5" xfId="1" applyNumberFormat="1" applyFont="1" applyFill="1" applyBorder="1" applyAlignment="1">
      <alignment horizontal="center" vertical="center" wrapText="1" readingOrder="1"/>
    </xf>
    <xf numFmtId="168" fontId="121" fillId="0" borderId="70" xfId="1" applyNumberFormat="1" applyFont="1" applyFill="1" applyBorder="1" applyAlignment="1">
      <alignment horizontal="center" vertical="center" wrapText="1" readingOrder="1"/>
    </xf>
    <xf numFmtId="0" fontId="143" fillId="0" borderId="108" xfId="0" applyNumberFormat="1" applyFont="1" applyFill="1" applyBorder="1" applyAlignment="1">
      <alignment horizontal="center" vertical="center" wrapText="1" readingOrder="1"/>
    </xf>
    <xf numFmtId="0" fontId="141" fillId="0" borderId="109" xfId="0" applyNumberFormat="1" applyFont="1" applyFill="1" applyBorder="1" applyAlignment="1">
      <alignment horizontal="center" vertical="center" wrapText="1"/>
    </xf>
    <xf numFmtId="0" fontId="141" fillId="0" borderId="110" xfId="0" applyNumberFormat="1" applyFont="1" applyFill="1" applyBorder="1" applyAlignment="1">
      <alignment horizontal="center" vertical="center" wrapText="1"/>
    </xf>
    <xf numFmtId="168" fontId="143" fillId="0" borderId="108" xfId="1" applyNumberFormat="1" applyFont="1" applyFill="1" applyBorder="1" applyAlignment="1">
      <alignment horizontal="center" vertical="center" wrapText="1" readingOrder="1"/>
    </xf>
    <xf numFmtId="168" fontId="141" fillId="0" borderId="109" xfId="1" applyNumberFormat="1" applyFont="1" applyFill="1" applyBorder="1" applyAlignment="1">
      <alignment horizontal="center" vertical="center" wrapText="1"/>
    </xf>
    <xf numFmtId="168" fontId="141" fillId="0" borderId="110" xfId="1" applyNumberFormat="1" applyFont="1" applyFill="1" applyBorder="1" applyAlignment="1">
      <alignment horizontal="center" vertical="center" wrapText="1"/>
    </xf>
    <xf numFmtId="0" fontId="139" fillId="17" borderId="0" xfId="0" applyFont="1" applyFill="1" applyAlignment="1">
      <alignment horizontal="center" vertical="center" wrapText="1"/>
    </xf>
    <xf numFmtId="0" fontId="140" fillId="17" borderId="0" xfId="0" applyFont="1" applyFill="1" applyAlignment="1">
      <alignment horizontal="center" vertical="center" wrapText="1"/>
    </xf>
    <xf numFmtId="0" fontId="142" fillId="16" borderId="89" xfId="0" applyNumberFormat="1" applyFont="1" applyFill="1" applyBorder="1" applyAlignment="1">
      <alignment horizontal="center" vertical="center" wrapText="1" readingOrder="1"/>
    </xf>
    <xf numFmtId="0" fontId="141" fillId="0" borderId="84" xfId="0" applyNumberFormat="1" applyFont="1" applyFill="1" applyBorder="1" applyAlignment="1">
      <alignment horizontal="center" vertical="center" wrapText="1"/>
    </xf>
    <xf numFmtId="0" fontId="141" fillId="0" borderId="85" xfId="0" applyNumberFormat="1"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168" fontId="143" fillId="0" borderId="95" xfId="1" applyNumberFormat="1" applyFont="1" applyFill="1" applyBorder="1" applyAlignment="1">
      <alignment horizontal="center" vertical="center" wrapText="1" readingOrder="1"/>
    </xf>
    <xf numFmtId="168" fontId="28" fillId="0" borderId="78" xfId="1" applyNumberFormat="1" applyFont="1" applyFill="1" applyBorder="1" applyAlignment="1">
      <alignment horizontal="center" vertical="center" wrapText="1"/>
    </xf>
    <xf numFmtId="168" fontId="28" fillId="0" borderId="79" xfId="1" applyNumberFormat="1" applyFont="1" applyFill="1" applyBorder="1" applyAlignment="1">
      <alignment horizontal="center" vertical="center" wrapText="1"/>
    </xf>
    <xf numFmtId="168" fontId="28" fillId="0" borderId="77" xfId="1" applyNumberFormat="1" applyFont="1" applyFill="1" applyBorder="1" applyAlignment="1">
      <alignment horizontal="center" vertical="center" wrapText="1"/>
    </xf>
    <xf numFmtId="0" fontId="28" fillId="0" borderId="78" xfId="0" applyNumberFormat="1" applyFont="1" applyFill="1" applyBorder="1" applyAlignment="1">
      <alignment horizontal="center" vertical="center" wrapText="1"/>
    </xf>
    <xf numFmtId="0" fontId="28" fillId="0" borderId="79" xfId="0" applyNumberFormat="1" applyFont="1" applyFill="1" applyBorder="1" applyAlignment="1">
      <alignment horizontal="center" vertical="center" wrapText="1"/>
    </xf>
    <xf numFmtId="0" fontId="28" fillId="0" borderId="77" xfId="0" applyFont="1" applyFill="1" applyBorder="1" applyAlignment="1">
      <alignment horizontal="center" vertical="center" wrapText="1"/>
    </xf>
    <xf numFmtId="0" fontId="143" fillId="0" borderId="95" xfId="0" applyNumberFormat="1" applyFont="1" applyFill="1" applyBorder="1" applyAlignment="1">
      <alignment horizontal="center" vertical="center" wrapText="1" readingOrder="1"/>
    </xf>
    <xf numFmtId="0" fontId="143" fillId="0" borderId="78" xfId="0" applyNumberFormat="1" applyFont="1" applyFill="1" applyBorder="1" applyAlignment="1">
      <alignment horizontal="center" vertical="center" wrapText="1" readingOrder="1"/>
    </xf>
    <xf numFmtId="0" fontId="143" fillId="0" borderId="79" xfId="0" applyNumberFormat="1" applyFont="1" applyFill="1" applyBorder="1" applyAlignment="1">
      <alignment horizontal="center" vertical="center" wrapText="1" readingOrder="1"/>
    </xf>
    <xf numFmtId="0" fontId="121" fillId="0" borderId="14" xfId="0" applyNumberFormat="1" applyFont="1" applyFill="1" applyBorder="1" applyAlignment="1">
      <alignment horizontal="center" vertical="center" wrapText="1" readingOrder="1"/>
    </xf>
    <xf numFmtId="0" fontId="121" fillId="0" borderId="41" xfId="0" applyNumberFormat="1" applyFont="1" applyFill="1" applyBorder="1" applyAlignment="1">
      <alignment horizontal="center" vertical="center" wrapText="1" readingOrder="1"/>
    </xf>
    <xf numFmtId="0" fontId="121" fillId="0" borderId="29" xfId="0" applyNumberFormat="1" applyFont="1" applyFill="1" applyBorder="1" applyAlignment="1">
      <alignment horizontal="center" vertical="center" wrapText="1" readingOrder="1"/>
    </xf>
    <xf numFmtId="0" fontId="160" fillId="0" borderId="0" xfId="0" applyNumberFormat="1" applyFont="1" applyFill="1" applyBorder="1" applyAlignment="1">
      <alignment horizontal="center" vertical="top" wrapText="1" readingOrder="1"/>
    </xf>
    <xf numFmtId="0" fontId="141" fillId="0" borderId="0" xfId="0" applyFont="1" applyFill="1" applyBorder="1" applyAlignment="1">
      <alignment horizontal="center"/>
    </xf>
    <xf numFmtId="0" fontId="161" fillId="0" borderId="0" xfId="0" applyNumberFormat="1" applyFont="1" applyFill="1" applyBorder="1" applyAlignment="1">
      <alignment horizontal="center" vertical="top" wrapText="1" readingOrder="1"/>
    </xf>
    <xf numFmtId="168" fontId="152" fillId="0" borderId="78" xfId="1" applyNumberFormat="1" applyFont="1" applyFill="1" applyBorder="1" applyAlignment="1">
      <alignment horizontal="center" vertical="center" wrapText="1"/>
    </xf>
    <xf numFmtId="168" fontId="152" fillId="0" borderId="79" xfId="1" applyNumberFormat="1" applyFont="1" applyFill="1" applyBorder="1" applyAlignment="1">
      <alignment horizontal="center" vertical="center" wrapText="1"/>
    </xf>
    <xf numFmtId="0" fontId="158" fillId="0" borderId="0" xfId="0" applyNumberFormat="1" applyFont="1" applyFill="1" applyBorder="1" applyAlignment="1">
      <alignment horizontal="center" vertical="top" wrapText="1" readingOrder="1"/>
    </xf>
    <xf numFmtId="0" fontId="159" fillId="0" borderId="0" xfId="0" applyFont="1" applyFill="1" applyBorder="1" applyAlignment="1">
      <alignment horizontal="center"/>
    </xf>
    <xf numFmtId="0" fontId="152" fillId="0" borderId="86" xfId="0" applyNumberFormat="1" applyFont="1" applyFill="1" applyBorder="1" applyAlignment="1">
      <alignment horizontal="center" vertical="center" wrapText="1"/>
    </xf>
    <xf numFmtId="0" fontId="152" fillId="0" borderId="80" xfId="0" applyNumberFormat="1" applyFont="1" applyFill="1" applyBorder="1" applyAlignment="1">
      <alignment horizontal="center" vertical="center" wrapText="1"/>
    </xf>
    <xf numFmtId="0" fontId="152" fillId="0" borderId="84" xfId="0" applyNumberFormat="1" applyFont="1" applyFill="1" applyBorder="1" applyAlignment="1">
      <alignment horizontal="center" vertical="center" wrapText="1"/>
    </xf>
    <xf numFmtId="0" fontId="152" fillId="0" borderId="85" xfId="0" applyNumberFormat="1" applyFont="1" applyFill="1" applyBorder="1" applyAlignment="1">
      <alignment horizontal="center" vertical="center" wrapText="1"/>
    </xf>
    <xf numFmtId="0" fontId="152" fillId="0" borderId="87" xfId="0" applyNumberFormat="1" applyFont="1" applyFill="1" applyBorder="1" applyAlignment="1">
      <alignment horizontal="center" vertical="center" wrapText="1"/>
    </xf>
    <xf numFmtId="0" fontId="152" fillId="0" borderId="0" xfId="0" applyFont="1" applyFill="1" applyBorder="1" applyAlignment="1">
      <alignment horizontal="center" vertical="center"/>
    </xf>
    <xf numFmtId="0" fontId="152" fillId="0" borderId="88" xfId="0" applyNumberFormat="1" applyFont="1" applyFill="1" applyBorder="1" applyAlignment="1">
      <alignment horizontal="center" vertical="center" wrapText="1"/>
    </xf>
    <xf numFmtId="0" fontId="152" fillId="0" borderId="81" xfId="0" applyNumberFormat="1" applyFont="1" applyFill="1" applyBorder="1" applyAlignment="1">
      <alignment horizontal="center" vertical="center" wrapText="1"/>
    </xf>
    <xf numFmtId="0" fontId="152" fillId="0" borderId="82" xfId="0" applyNumberFormat="1" applyFont="1" applyFill="1" applyBorder="1" applyAlignment="1">
      <alignment horizontal="center" vertical="center" wrapText="1"/>
    </xf>
    <xf numFmtId="0" fontId="152" fillId="0" borderId="83" xfId="0" applyNumberFormat="1" applyFont="1" applyFill="1" applyBorder="1" applyAlignment="1">
      <alignment horizontal="center" vertical="center" wrapText="1"/>
    </xf>
    <xf numFmtId="168" fontId="152" fillId="0" borderId="84" xfId="1" applyNumberFormat="1" applyFont="1" applyFill="1" applyBorder="1" applyAlignment="1">
      <alignment horizontal="center" vertical="center" wrapText="1"/>
    </xf>
    <xf numFmtId="168" fontId="152" fillId="0" borderId="85" xfId="1" applyNumberFormat="1" applyFont="1" applyFill="1" applyBorder="1" applyAlignment="1">
      <alignment horizontal="center" vertical="center" wrapText="1"/>
    </xf>
    <xf numFmtId="168" fontId="152" fillId="0" borderId="87" xfId="1" applyNumberFormat="1" applyFont="1" applyFill="1" applyBorder="1" applyAlignment="1">
      <alignment horizontal="center" vertical="center" wrapText="1"/>
    </xf>
    <xf numFmtId="168" fontId="152" fillId="0" borderId="0" xfId="1" applyNumberFormat="1" applyFont="1" applyFill="1" applyBorder="1" applyAlignment="1">
      <alignment horizontal="center" vertical="center"/>
    </xf>
    <xf numFmtId="168" fontId="152" fillId="0" borderId="88" xfId="1" applyNumberFormat="1" applyFont="1" applyFill="1" applyBorder="1" applyAlignment="1">
      <alignment horizontal="center" vertical="center" wrapText="1"/>
    </xf>
    <xf numFmtId="168" fontId="152" fillId="0" borderId="81" xfId="1" applyNumberFormat="1" applyFont="1" applyFill="1" applyBorder="1" applyAlignment="1">
      <alignment horizontal="center" vertical="center" wrapText="1"/>
    </xf>
    <xf numFmtId="168" fontId="152" fillId="0" borderId="82" xfId="1" applyNumberFormat="1" applyFont="1" applyFill="1" applyBorder="1" applyAlignment="1">
      <alignment horizontal="center" vertical="center" wrapText="1"/>
    </xf>
    <xf numFmtId="168" fontId="152" fillId="0" borderId="83" xfId="1" applyNumberFormat="1" applyFont="1" applyFill="1" applyBorder="1" applyAlignment="1">
      <alignment horizontal="center" vertical="center" wrapText="1"/>
    </xf>
    <xf numFmtId="0" fontId="121" fillId="0" borderId="43" xfId="0" applyFont="1" applyFill="1" applyBorder="1" applyAlignment="1">
      <alignment horizontal="center" vertical="center"/>
    </xf>
    <xf numFmtId="0" fontId="121" fillId="0" borderId="0" xfId="0" applyFont="1" applyFill="1" applyBorder="1" applyAlignment="1">
      <alignment horizontal="center" vertical="center" wrapText="1"/>
    </xf>
    <xf numFmtId="0" fontId="28" fillId="0" borderId="1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29" xfId="0" applyFont="1" applyFill="1" applyBorder="1" applyAlignment="1">
      <alignment horizontal="center" vertical="center"/>
    </xf>
    <xf numFmtId="168" fontId="28" fillId="0" borderId="103" xfId="1" applyNumberFormat="1" applyFont="1" applyFill="1" applyBorder="1" applyAlignment="1">
      <alignment horizontal="center" vertical="center"/>
    </xf>
    <xf numFmtId="168" fontId="28" fillId="0" borderId="41" xfId="1" applyNumberFormat="1" applyFont="1" applyFill="1" applyBorder="1" applyAlignment="1">
      <alignment horizontal="center" vertical="center"/>
    </xf>
    <xf numFmtId="168" fontId="28" fillId="0" borderId="29" xfId="1" applyNumberFormat="1" applyFont="1" applyFill="1" applyBorder="1" applyAlignment="1">
      <alignment horizontal="center" vertical="center"/>
    </xf>
    <xf numFmtId="9" fontId="28" fillId="0" borderId="1" xfId="0" applyNumberFormat="1" applyFont="1" applyFill="1" applyBorder="1" applyAlignment="1">
      <alignment horizontal="center" vertical="center"/>
    </xf>
    <xf numFmtId="168" fontId="28" fillId="0" borderId="14" xfId="1" applyNumberFormat="1" applyFont="1" applyFill="1" applyBorder="1" applyAlignment="1">
      <alignment horizontal="center" vertical="center"/>
    </xf>
    <xf numFmtId="0" fontId="143" fillId="0" borderId="89" xfId="0" applyNumberFormat="1" applyFont="1" applyFill="1" applyBorder="1" applyAlignment="1">
      <alignment horizontal="center" vertical="center" wrapText="1" readingOrder="1"/>
    </xf>
    <xf numFmtId="0" fontId="28" fillId="0" borderId="84" xfId="0" applyNumberFormat="1" applyFont="1" applyFill="1" applyBorder="1" applyAlignment="1">
      <alignment horizontal="center" vertical="center" wrapText="1"/>
    </xf>
    <xf numFmtId="0" fontId="28" fillId="0" borderId="85" xfId="0" applyNumberFormat="1" applyFont="1" applyFill="1" applyBorder="1" applyAlignment="1">
      <alignment horizontal="center" vertical="center" wrapText="1"/>
    </xf>
    <xf numFmtId="168" fontId="143" fillId="0" borderId="89" xfId="1" applyNumberFormat="1" applyFont="1" applyFill="1" applyBorder="1" applyAlignment="1">
      <alignment horizontal="center" vertical="center" wrapText="1" readingOrder="1"/>
    </xf>
    <xf numFmtId="168" fontId="28" fillId="0" borderId="84" xfId="1" applyNumberFormat="1" applyFont="1" applyFill="1" applyBorder="1" applyAlignment="1">
      <alignment horizontal="center" vertical="center" wrapText="1"/>
    </xf>
    <xf numFmtId="168" fontId="28" fillId="0" borderId="85" xfId="1" applyNumberFormat="1" applyFont="1" applyFill="1" applyBorder="1" applyAlignment="1">
      <alignment horizontal="center" vertical="center" wrapText="1"/>
    </xf>
    <xf numFmtId="0" fontId="143" fillId="0" borderId="1" xfId="0" applyNumberFormat="1" applyFont="1" applyFill="1" applyBorder="1" applyAlignment="1">
      <alignment horizontal="center" vertical="center" wrapText="1" readingOrder="1"/>
    </xf>
    <xf numFmtId="0" fontId="28" fillId="0" borderId="1" xfId="0" applyNumberFormat="1" applyFont="1" applyFill="1" applyBorder="1" applyAlignment="1">
      <alignment horizontal="center" vertical="center" wrapText="1"/>
    </xf>
    <xf numFmtId="168" fontId="143" fillId="0" borderId="1" xfId="1" applyNumberFormat="1" applyFont="1" applyFill="1" applyBorder="1" applyAlignment="1">
      <alignment horizontal="center" vertical="center" wrapText="1" readingOrder="1"/>
    </xf>
    <xf numFmtId="168" fontId="28" fillId="0" borderId="1" xfId="1" applyNumberFormat="1" applyFont="1" applyFill="1" applyBorder="1" applyAlignment="1">
      <alignment horizontal="center" vertical="center" wrapText="1"/>
    </xf>
    <xf numFmtId="0" fontId="143" fillId="8" borderId="77" xfId="0" applyNumberFormat="1" applyFont="1" applyFill="1" applyBorder="1" applyAlignment="1">
      <alignment horizontal="center" vertical="center" wrapText="1" readingOrder="1"/>
    </xf>
    <xf numFmtId="0" fontId="28" fillId="8" borderId="78" xfId="0" applyNumberFormat="1" applyFont="1" applyFill="1" applyBorder="1" applyAlignment="1">
      <alignment horizontal="center" vertical="center" wrapText="1"/>
    </xf>
    <xf numFmtId="0" fontId="28" fillId="8" borderId="79" xfId="0" applyNumberFormat="1" applyFont="1" applyFill="1" applyBorder="1" applyAlignment="1">
      <alignment horizontal="center" vertical="center" wrapText="1"/>
    </xf>
    <xf numFmtId="168" fontId="143" fillId="8" borderId="77" xfId="1" applyNumberFormat="1" applyFont="1" applyFill="1" applyBorder="1" applyAlignment="1">
      <alignment horizontal="center" vertical="center" wrapText="1" readingOrder="1"/>
    </xf>
    <xf numFmtId="168" fontId="28" fillId="8" borderId="78" xfId="1" applyNumberFormat="1" applyFont="1" applyFill="1" applyBorder="1" applyAlignment="1">
      <alignment horizontal="center" vertical="center" wrapText="1"/>
    </xf>
    <xf numFmtId="168" fontId="28" fillId="8" borderId="79" xfId="1" applyNumberFormat="1" applyFont="1" applyFill="1" applyBorder="1" applyAlignment="1">
      <alignment horizontal="center" vertical="center" wrapText="1"/>
    </xf>
    <xf numFmtId="0" fontId="3" fillId="0" borderId="78" xfId="0" applyNumberFormat="1" applyFont="1" applyFill="1" applyBorder="1" applyAlignment="1">
      <alignment horizontal="center" vertical="center" wrapText="1"/>
    </xf>
    <xf numFmtId="0" fontId="3" fillId="0" borderId="79" xfId="0" applyNumberFormat="1" applyFont="1" applyFill="1" applyBorder="1" applyAlignment="1">
      <alignment horizontal="center" vertical="center" wrapText="1"/>
    </xf>
    <xf numFmtId="168" fontId="121" fillId="0" borderId="1" xfId="1" applyNumberFormat="1" applyFont="1" applyFill="1" applyBorder="1" applyAlignment="1">
      <alignment horizontal="center" vertical="center" wrapText="1" readingOrder="1"/>
    </xf>
    <xf numFmtId="0" fontId="147" fillId="0" borderId="1" xfId="0" applyNumberFormat="1" applyFont="1" applyFill="1" applyBorder="1" applyAlignment="1">
      <alignment horizontal="center" vertical="center" wrapText="1"/>
    </xf>
    <xf numFmtId="168" fontId="147" fillId="0" borderId="1" xfId="1" applyNumberFormat="1" applyFont="1" applyFill="1" applyBorder="1" applyAlignment="1">
      <alignment horizontal="center" vertical="center" wrapText="1"/>
    </xf>
    <xf numFmtId="0" fontId="145" fillId="0" borderId="1" xfId="0" applyNumberFormat="1"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141" fillId="8" borderId="78" xfId="0" applyNumberFormat="1" applyFont="1" applyFill="1" applyBorder="1" applyAlignment="1">
      <alignment horizontal="center" vertical="center" wrapText="1"/>
    </xf>
    <xf numFmtId="0" fontId="141" fillId="8" borderId="79" xfId="0" applyNumberFormat="1" applyFont="1" applyFill="1" applyBorder="1" applyAlignment="1">
      <alignment horizontal="center" vertical="center" wrapText="1"/>
    </xf>
    <xf numFmtId="0" fontId="121" fillId="0" borderId="1" xfId="0" applyNumberFormat="1" applyFont="1" applyFill="1" applyBorder="1" applyAlignment="1">
      <alignment horizontal="center" vertical="center" wrapText="1"/>
    </xf>
    <xf numFmtId="168" fontId="121" fillId="0" borderId="1" xfId="1" applyNumberFormat="1" applyFont="1" applyFill="1" applyBorder="1" applyAlignment="1">
      <alignment horizontal="center" vertical="center" wrapText="1"/>
    </xf>
    <xf numFmtId="0" fontId="141" fillId="0" borderId="1" xfId="0" applyNumberFormat="1" applyFont="1" applyFill="1" applyBorder="1" applyAlignment="1">
      <alignment horizontal="center" vertical="center" wrapText="1"/>
    </xf>
    <xf numFmtId="168" fontId="141" fillId="0" borderId="1" xfId="1" applyNumberFormat="1" applyFont="1" applyFill="1" applyBorder="1" applyAlignment="1">
      <alignment horizontal="center" vertical="center" wrapText="1"/>
    </xf>
    <xf numFmtId="0" fontId="142" fillId="16" borderId="1" xfId="0" applyNumberFormat="1" applyFont="1" applyFill="1" applyBorder="1" applyAlignment="1">
      <alignment horizontal="center" vertical="center" wrapText="1" readingOrder="1"/>
    </xf>
    <xf numFmtId="0" fontId="141" fillId="0" borderId="78" xfId="0" applyNumberFormat="1" applyFont="1" applyFill="1" applyBorder="1" applyAlignment="1">
      <alignment horizontal="center" vertical="center" wrapText="1" readingOrder="1"/>
    </xf>
    <xf numFmtId="0" fontId="141" fillId="0" borderId="79" xfId="0" applyNumberFormat="1" applyFont="1" applyFill="1" applyBorder="1" applyAlignment="1">
      <alignment horizontal="center" vertical="center" wrapText="1" readingOrder="1"/>
    </xf>
    <xf numFmtId="168" fontId="141" fillId="0" borderId="78" xfId="1" applyNumberFormat="1" applyFont="1" applyFill="1" applyBorder="1" applyAlignment="1">
      <alignment horizontal="center" vertical="center" wrapText="1" readingOrder="1"/>
    </xf>
    <xf numFmtId="168" fontId="141" fillId="0" borderId="79" xfId="1" applyNumberFormat="1" applyFont="1" applyFill="1" applyBorder="1" applyAlignment="1">
      <alignment horizontal="center" vertical="center" wrapText="1" readingOrder="1"/>
    </xf>
    <xf numFmtId="0" fontId="141" fillId="0" borderId="80" xfId="0" applyNumberFormat="1" applyFont="1" applyFill="1" applyBorder="1" applyAlignment="1">
      <alignment horizontal="center" vertical="center" wrapText="1" readingOrder="1"/>
    </xf>
    <xf numFmtId="0" fontId="141" fillId="0" borderId="84" xfId="0" applyNumberFormat="1" applyFont="1" applyFill="1" applyBorder="1" applyAlignment="1">
      <alignment horizontal="center" vertical="center" wrapText="1" readingOrder="1"/>
    </xf>
    <xf numFmtId="0" fontId="141" fillId="0" borderId="85" xfId="0" applyNumberFormat="1" applyFont="1" applyFill="1" applyBorder="1" applyAlignment="1">
      <alignment horizontal="center" vertical="center" wrapText="1" readingOrder="1"/>
    </xf>
    <xf numFmtId="0" fontId="141" fillId="0" borderId="81" xfId="0" applyNumberFormat="1" applyFont="1" applyFill="1" applyBorder="1" applyAlignment="1">
      <alignment horizontal="center" vertical="center" wrapText="1" readingOrder="1"/>
    </xf>
    <xf numFmtId="0" fontId="141" fillId="0" borderId="82" xfId="0" applyNumberFormat="1" applyFont="1" applyFill="1" applyBorder="1" applyAlignment="1">
      <alignment horizontal="center" vertical="center" wrapText="1" readingOrder="1"/>
    </xf>
    <xf numFmtId="0" fontId="141" fillId="0" borderId="83" xfId="0" applyNumberFormat="1" applyFont="1" applyFill="1" applyBorder="1" applyAlignment="1">
      <alignment horizontal="center" vertical="center" wrapText="1" readingOrder="1"/>
    </xf>
    <xf numFmtId="168" fontId="141" fillId="0" borderId="84" xfId="1" applyNumberFormat="1" applyFont="1" applyFill="1" applyBorder="1" applyAlignment="1">
      <alignment horizontal="center" vertical="center" wrapText="1" readingOrder="1"/>
    </xf>
    <xf numFmtId="168" fontId="141" fillId="0" borderId="85" xfId="1" applyNumberFormat="1" applyFont="1" applyFill="1" applyBorder="1" applyAlignment="1">
      <alignment horizontal="center" vertical="center" wrapText="1" readingOrder="1"/>
    </xf>
    <xf numFmtId="168" fontId="141" fillId="0" borderId="81" xfId="1" applyNumberFormat="1" applyFont="1" applyFill="1" applyBorder="1" applyAlignment="1">
      <alignment horizontal="center" vertical="center" wrapText="1" readingOrder="1"/>
    </xf>
    <xf numFmtId="168" fontId="141" fillId="0" borderId="82" xfId="1" applyNumberFormat="1" applyFont="1" applyFill="1" applyBorder="1" applyAlignment="1">
      <alignment horizontal="center" vertical="center" wrapText="1" readingOrder="1"/>
    </xf>
    <xf numFmtId="168" fontId="141" fillId="0" borderId="83" xfId="1" applyNumberFormat="1" applyFont="1" applyFill="1" applyBorder="1" applyAlignment="1">
      <alignment horizontal="center" vertical="center" wrapText="1" readingOrder="1"/>
    </xf>
    <xf numFmtId="168" fontId="141" fillId="0" borderId="80" xfId="1" applyNumberFormat="1" applyFont="1" applyFill="1" applyBorder="1" applyAlignment="1">
      <alignment horizontal="center" vertical="center" wrapText="1" readingOrder="1"/>
    </xf>
    <xf numFmtId="0" fontId="141" fillId="0" borderId="86" xfId="0" applyNumberFormat="1" applyFont="1" applyFill="1" applyBorder="1" applyAlignment="1">
      <alignment horizontal="center" vertical="center" wrapText="1" readingOrder="1"/>
    </xf>
    <xf numFmtId="0" fontId="141" fillId="0" borderId="87" xfId="0" applyNumberFormat="1" applyFont="1" applyFill="1" applyBorder="1" applyAlignment="1">
      <alignment horizontal="center" vertical="center" wrapText="1" readingOrder="1"/>
    </xf>
    <xf numFmtId="0" fontId="141" fillId="0" borderId="0" xfId="0" applyFont="1" applyFill="1" applyBorder="1" applyAlignment="1">
      <alignment horizontal="center" vertical="center" readingOrder="1"/>
    </xf>
    <xf numFmtId="0" fontId="141" fillId="0" borderId="88" xfId="0" applyNumberFormat="1" applyFont="1" applyFill="1" applyBorder="1" applyAlignment="1">
      <alignment horizontal="center" vertical="center" wrapText="1" readingOrder="1"/>
    </xf>
    <xf numFmtId="0" fontId="121" fillId="0" borderId="1" xfId="0" applyFont="1" applyBorder="1" applyAlignment="1">
      <alignment horizontal="center" vertical="center" wrapText="1" readingOrder="1"/>
    </xf>
    <xf numFmtId="0" fontId="121" fillId="0" borderId="1" xfId="0" applyFont="1" applyBorder="1" applyAlignment="1">
      <alignment horizontal="center" vertical="center" wrapText="1"/>
    </xf>
    <xf numFmtId="168" fontId="121" fillId="0" borderId="1" xfId="1" applyNumberFormat="1" applyFont="1" applyBorder="1" applyAlignment="1">
      <alignment horizontal="center" vertical="top" wrapText="1"/>
    </xf>
    <xf numFmtId="168" fontId="121" fillId="0" borderId="1" xfId="1" applyNumberFormat="1" applyFont="1" applyBorder="1" applyAlignment="1">
      <alignment vertical="top" wrapText="1"/>
    </xf>
    <xf numFmtId="0" fontId="146" fillId="16" borderId="89" xfId="0" applyFont="1" applyFill="1" applyBorder="1" applyAlignment="1">
      <alignment horizontal="center" vertical="center" wrapText="1" readingOrder="1"/>
    </xf>
    <xf numFmtId="0" fontId="156" fillId="0" borderId="84" xfId="0" applyFont="1" applyBorder="1" applyAlignment="1">
      <alignment horizontal="center" vertical="center" wrapText="1"/>
    </xf>
    <xf numFmtId="0" fontId="156" fillId="0" borderId="85" xfId="0" applyFont="1" applyBorder="1" applyAlignment="1">
      <alignment horizontal="center" vertical="center" wrapText="1"/>
    </xf>
    <xf numFmtId="0" fontId="121" fillId="0" borderId="95" xfId="0" applyFont="1" applyBorder="1" applyAlignment="1">
      <alignment horizontal="center" vertical="center" wrapText="1" readingOrder="1"/>
    </xf>
    <xf numFmtId="0" fontId="121" fillId="0" borderId="78" xfId="0" applyFont="1" applyBorder="1" applyAlignment="1">
      <alignment horizontal="center" vertical="center" wrapText="1" readingOrder="1"/>
    </xf>
    <xf numFmtId="0" fontId="121" fillId="0" borderId="79" xfId="0" applyFont="1" applyBorder="1" applyAlignment="1">
      <alignment horizontal="center" vertical="center" wrapText="1" readingOrder="1"/>
    </xf>
    <xf numFmtId="168" fontId="143" fillId="0" borderId="95" xfId="1" applyNumberFormat="1" applyFont="1" applyBorder="1" applyAlignment="1">
      <alignment horizontal="center" vertical="center" wrapText="1" readingOrder="1"/>
    </xf>
    <xf numFmtId="168" fontId="28" fillId="0" borderId="78" xfId="1" applyNumberFormat="1" applyFont="1" applyBorder="1" applyAlignment="1">
      <alignment horizontal="center" vertical="center"/>
    </xf>
    <xf numFmtId="0" fontId="121" fillId="0" borderId="104" xfId="0" applyNumberFormat="1" applyFont="1" applyFill="1" applyBorder="1" applyAlignment="1">
      <alignment horizontal="center" vertical="center" wrapText="1"/>
    </xf>
    <xf numFmtId="0" fontId="121" fillId="0" borderId="91" xfId="0" applyNumberFormat="1" applyFont="1" applyFill="1" applyBorder="1" applyAlignment="1">
      <alignment horizontal="center" vertical="center" wrapText="1"/>
    </xf>
    <xf numFmtId="0" fontId="121" fillId="0" borderId="105" xfId="0" applyNumberFormat="1" applyFont="1" applyFill="1" applyBorder="1" applyAlignment="1">
      <alignment horizontal="center" vertical="center" wrapText="1"/>
    </xf>
    <xf numFmtId="168" fontId="121" fillId="0" borderId="14" xfId="1" applyNumberFormat="1" applyFont="1" applyFill="1" applyBorder="1" applyAlignment="1">
      <alignment horizontal="center" vertical="center" wrapText="1"/>
    </xf>
    <xf numFmtId="168" fontId="121" fillId="0" borderId="41" xfId="1" applyNumberFormat="1" applyFont="1" applyFill="1" applyBorder="1" applyAlignment="1">
      <alignment horizontal="center" vertical="center" wrapText="1"/>
    </xf>
    <xf numFmtId="168" fontId="121" fillId="0" borderId="29" xfId="1" applyNumberFormat="1" applyFont="1" applyFill="1" applyBorder="1" applyAlignment="1">
      <alignment horizontal="center" vertical="center" wrapText="1"/>
    </xf>
    <xf numFmtId="0" fontId="143" fillId="0" borderId="77" xfId="0" applyFont="1" applyBorder="1" applyAlignment="1">
      <alignment horizontal="center" vertical="center" wrapText="1" readingOrder="1"/>
    </xf>
    <xf numFmtId="0" fontId="28" fillId="0" borderId="78" xfId="0" applyFont="1" applyBorder="1" applyAlignment="1">
      <alignment horizontal="center" vertical="center" wrapText="1"/>
    </xf>
    <xf numFmtId="0" fontId="28" fillId="0" borderId="79" xfId="0" applyFont="1" applyBorder="1" applyAlignment="1">
      <alignment horizontal="center" vertical="center" wrapText="1"/>
    </xf>
    <xf numFmtId="168" fontId="143" fillId="0" borderId="77" xfId="1" applyNumberFormat="1" applyFont="1" applyBorder="1" applyAlignment="1">
      <alignment horizontal="center" vertical="center" wrapText="1" readingOrder="1"/>
    </xf>
    <xf numFmtId="168" fontId="28" fillId="0" borderId="78" xfId="1" applyNumberFormat="1" applyFont="1" applyBorder="1" applyAlignment="1">
      <alignment horizontal="center" vertical="center" wrapText="1"/>
    </xf>
    <xf numFmtId="168" fontId="28" fillId="0" borderId="79" xfId="1" applyNumberFormat="1" applyFont="1" applyBorder="1" applyAlignment="1">
      <alignment horizontal="center" vertical="center" wrapText="1"/>
    </xf>
    <xf numFmtId="0" fontId="143" fillId="0" borderId="89" xfId="0" applyFont="1" applyBorder="1" applyAlignment="1">
      <alignment horizontal="center" vertical="center" wrapText="1" readingOrder="1"/>
    </xf>
    <xf numFmtId="0" fontId="28" fillId="0" borderId="84" xfId="0" applyFont="1" applyBorder="1" applyAlignment="1">
      <alignment horizontal="center" vertical="center" wrapText="1"/>
    </xf>
    <xf numFmtId="0" fontId="28" fillId="0" borderId="85" xfId="0" applyFont="1" applyBorder="1" applyAlignment="1">
      <alignment horizontal="center" vertical="center" wrapText="1"/>
    </xf>
    <xf numFmtId="168" fontId="143" fillId="0" borderId="89" xfId="1" applyNumberFormat="1" applyFont="1" applyBorder="1" applyAlignment="1">
      <alignment horizontal="center" vertical="center" wrapText="1" readingOrder="1"/>
    </xf>
    <xf numFmtId="168" fontId="28" fillId="0" borderId="84" xfId="1" applyNumberFormat="1" applyFont="1" applyBorder="1" applyAlignment="1">
      <alignment horizontal="center" vertical="center" wrapText="1"/>
    </xf>
    <xf numFmtId="168" fontId="28" fillId="0" borderId="85" xfId="1" applyNumberFormat="1" applyFont="1" applyBorder="1" applyAlignment="1">
      <alignment horizontal="center" vertical="center" wrapText="1"/>
    </xf>
    <xf numFmtId="0" fontId="142" fillId="16" borderId="77" xfId="0" applyFont="1" applyFill="1" applyBorder="1" applyAlignment="1">
      <alignment horizontal="center" vertical="center" wrapText="1" readingOrder="1"/>
    </xf>
    <xf numFmtId="0" fontId="28" fillId="8" borderId="103" xfId="0" applyFont="1" applyFill="1" applyBorder="1" applyAlignment="1">
      <alignment horizontal="center" vertical="center" wrapText="1" readingOrder="1"/>
    </xf>
    <xf numFmtId="0" fontId="28" fillId="8" borderId="41" xfId="0" applyFont="1" applyFill="1" applyBorder="1" applyAlignment="1">
      <alignment horizontal="center" vertical="center" wrapText="1" readingOrder="1"/>
    </xf>
    <xf numFmtId="0" fontId="28" fillId="8" borderId="29" xfId="0" applyFont="1" applyFill="1" applyBorder="1" applyAlignment="1">
      <alignment horizontal="center" vertical="center" wrapText="1" readingOrder="1"/>
    </xf>
    <xf numFmtId="168" fontId="28" fillId="0" borderId="103" xfId="1" applyNumberFormat="1" applyFont="1" applyFill="1" applyBorder="1" applyAlignment="1">
      <alignment horizontal="center" vertical="center" readingOrder="1"/>
    </xf>
    <xf numFmtId="168" fontId="28" fillId="0" borderId="41" xfId="1" applyNumberFormat="1" applyFont="1" applyFill="1" applyBorder="1" applyAlignment="1">
      <alignment horizontal="center" vertical="center" readingOrder="1"/>
    </xf>
    <xf numFmtId="0" fontId="141" fillId="0" borderId="1" xfId="0" applyNumberFormat="1" applyFont="1" applyFill="1" applyBorder="1" applyAlignment="1">
      <alignment horizontal="center" vertical="center" wrapText="1" readingOrder="1"/>
    </xf>
    <xf numFmtId="168" fontId="141" fillId="0" borderId="1" xfId="1" applyNumberFormat="1" applyFont="1" applyFill="1" applyBorder="1" applyAlignment="1">
      <alignment horizontal="center" vertical="center" wrapText="1" readingOrder="1"/>
    </xf>
    <xf numFmtId="0" fontId="48" fillId="0" borderId="100" xfId="0" applyNumberFormat="1" applyFont="1" applyFill="1" applyBorder="1" applyAlignment="1">
      <alignment horizontal="center" vertical="center" wrapText="1" readingOrder="1"/>
    </xf>
    <xf numFmtId="0" fontId="141" fillId="0" borderId="101" xfId="0" applyNumberFormat="1" applyFont="1" applyFill="1" applyBorder="1" applyAlignment="1">
      <alignment horizontal="center" vertical="center" wrapText="1"/>
    </xf>
    <xf numFmtId="0" fontId="141" fillId="0" borderId="102" xfId="0" applyNumberFormat="1" applyFont="1" applyFill="1" applyBorder="1" applyAlignment="1">
      <alignment horizontal="center" vertical="center" wrapText="1"/>
    </xf>
    <xf numFmtId="168" fontId="48" fillId="0" borderId="100" xfId="1" applyNumberFormat="1" applyFont="1" applyFill="1" applyBorder="1" applyAlignment="1">
      <alignment horizontal="center" vertical="center" wrapText="1" readingOrder="1"/>
    </xf>
    <xf numFmtId="168" fontId="141" fillId="0" borderId="101" xfId="1" applyNumberFormat="1" applyFont="1" applyFill="1" applyBorder="1" applyAlignment="1">
      <alignment horizontal="center" vertical="center" wrapText="1"/>
    </xf>
    <xf numFmtId="168" fontId="141" fillId="0" borderId="102" xfId="1" applyNumberFormat="1" applyFont="1" applyFill="1" applyBorder="1" applyAlignment="1">
      <alignment horizontal="center" vertical="center" wrapText="1"/>
    </xf>
    <xf numFmtId="0" fontId="139" fillId="0" borderId="0" xfId="0" applyNumberFormat="1" applyFont="1" applyFill="1" applyBorder="1" applyAlignment="1">
      <alignment horizontal="center" vertical="center" readingOrder="1"/>
    </xf>
    <xf numFmtId="0" fontId="67" fillId="4" borderId="100" xfId="0" applyNumberFormat="1" applyFont="1" applyFill="1" applyBorder="1" applyAlignment="1">
      <alignment horizontal="center" vertical="center" wrapText="1" readingOrder="1"/>
    </xf>
    <xf numFmtId="0" fontId="121" fillId="0" borderId="77" xfId="0" applyNumberFormat="1" applyFont="1" applyFill="1" applyBorder="1" applyAlignment="1">
      <alignment horizontal="center" vertical="center" wrapText="1" readingOrder="1"/>
    </xf>
    <xf numFmtId="0" fontId="147" fillId="0" borderId="78" xfId="0" applyNumberFormat="1" applyFont="1" applyFill="1" applyBorder="1" applyAlignment="1">
      <alignment horizontal="center" vertical="center" wrapText="1"/>
    </xf>
    <xf numFmtId="0" fontId="147" fillId="0" borderId="79" xfId="0" applyNumberFormat="1" applyFont="1" applyFill="1" applyBorder="1" applyAlignment="1">
      <alignment horizontal="center" vertical="center" wrapText="1"/>
    </xf>
    <xf numFmtId="168" fontId="121" fillId="0" borderId="77" xfId="1" applyNumberFormat="1" applyFont="1" applyFill="1" applyBorder="1" applyAlignment="1">
      <alignment horizontal="center" vertical="center" wrapText="1" readingOrder="1"/>
    </xf>
    <xf numFmtId="168" fontId="147" fillId="0" borderId="78" xfId="1" applyNumberFormat="1" applyFont="1" applyFill="1" applyBorder="1" applyAlignment="1">
      <alignment horizontal="center" vertical="center" wrapText="1"/>
    </xf>
    <xf numFmtId="168" fontId="147" fillId="0" borderId="79" xfId="1" applyNumberFormat="1" applyFont="1" applyFill="1" applyBorder="1" applyAlignment="1">
      <alignment horizontal="center" vertical="center" wrapText="1"/>
    </xf>
    <xf numFmtId="0" fontId="146" fillId="16" borderId="77" xfId="0" applyNumberFormat="1" applyFont="1" applyFill="1" applyBorder="1" applyAlignment="1">
      <alignment horizontal="center" vertical="center" wrapText="1" readingOrder="1"/>
    </xf>
    <xf numFmtId="0" fontId="145" fillId="0" borderId="78" xfId="0" applyNumberFormat="1" applyFont="1" applyFill="1" applyBorder="1" applyAlignment="1">
      <alignment horizontal="center" vertical="center" wrapText="1"/>
    </xf>
    <xf numFmtId="0" fontId="145" fillId="0" borderId="79" xfId="0" applyNumberFormat="1" applyFont="1" applyFill="1" applyBorder="1" applyAlignment="1">
      <alignment horizontal="center" vertical="center" wrapText="1"/>
    </xf>
    <xf numFmtId="0" fontId="143" fillId="0" borderId="90" xfId="0" applyNumberFormat="1" applyFont="1" applyFill="1" applyBorder="1" applyAlignment="1">
      <alignment horizontal="center" vertical="center" wrapText="1" readingOrder="1"/>
    </xf>
    <xf numFmtId="0" fontId="141" fillId="0" borderId="91" xfId="0" applyNumberFormat="1" applyFont="1" applyFill="1" applyBorder="1" applyAlignment="1">
      <alignment horizontal="center" vertical="center" wrapText="1"/>
    </xf>
    <xf numFmtId="168" fontId="143" fillId="0" borderId="97" xfId="1" applyNumberFormat="1" applyFont="1" applyFill="1" applyBorder="1" applyAlignment="1">
      <alignment horizontal="center" vertical="center" wrapText="1" readingOrder="1"/>
    </xf>
    <xf numFmtId="168" fontId="141" fillId="0" borderId="41" xfId="1" applyNumberFormat="1" applyFont="1" applyFill="1" applyBorder="1" applyAlignment="1">
      <alignment horizontal="center" vertical="center" wrapText="1"/>
    </xf>
    <xf numFmtId="168" fontId="141" fillId="0" borderId="98" xfId="1" applyNumberFormat="1" applyFont="1" applyFill="1" applyBorder="1" applyAlignment="1">
      <alignment horizontal="center" vertical="center" wrapText="1"/>
    </xf>
    <xf numFmtId="168" fontId="141" fillId="0" borderId="84" xfId="1" applyNumberFormat="1" applyFont="1" applyFill="1" applyBorder="1" applyAlignment="1">
      <alignment horizontal="center" vertical="center" wrapText="1"/>
    </xf>
    <xf numFmtId="168" fontId="141" fillId="0" borderId="85" xfId="1" applyNumberFormat="1" applyFont="1" applyFill="1" applyBorder="1" applyAlignment="1">
      <alignment horizontal="center" vertical="center" wrapText="1"/>
    </xf>
    <xf numFmtId="0" fontId="152" fillId="0" borderId="78" xfId="0" applyNumberFormat="1" applyFont="1" applyFill="1" applyBorder="1" applyAlignment="1">
      <alignment horizontal="center" vertical="center" wrapText="1" readingOrder="1"/>
    </xf>
    <xf numFmtId="0" fontId="152" fillId="0" borderId="79" xfId="0" applyNumberFormat="1" applyFont="1" applyFill="1" applyBorder="1" applyAlignment="1">
      <alignment horizontal="center" vertical="center" wrapText="1" readingOrder="1"/>
    </xf>
    <xf numFmtId="168" fontId="137" fillId="0" borderId="41" xfId="1" applyNumberFormat="1" applyFont="1" applyFill="1" applyBorder="1" applyAlignment="1">
      <alignment horizontal="center" vertical="center"/>
    </xf>
    <xf numFmtId="168" fontId="137" fillId="0" borderId="29" xfId="1" applyNumberFormat="1" applyFont="1" applyFill="1" applyBorder="1" applyAlignment="1">
      <alignment horizontal="center" vertical="center"/>
    </xf>
    <xf numFmtId="169" fontId="121" fillId="0" borderId="77" xfId="1" applyNumberFormat="1" applyFont="1" applyFill="1" applyBorder="1" applyAlignment="1">
      <alignment horizontal="center" vertical="center" wrapText="1" readingOrder="1"/>
    </xf>
    <xf numFmtId="169" fontId="147" fillId="0" borderId="78" xfId="1" applyNumberFormat="1" applyFont="1" applyFill="1" applyBorder="1" applyAlignment="1">
      <alignment horizontal="center" vertical="center" wrapText="1" readingOrder="1"/>
    </xf>
    <xf numFmtId="169" fontId="147" fillId="0" borderId="79" xfId="1" applyNumberFormat="1" applyFont="1" applyFill="1" applyBorder="1" applyAlignment="1">
      <alignment horizontal="center" vertical="center" wrapText="1" readingOrder="1"/>
    </xf>
    <xf numFmtId="168" fontId="147" fillId="0" borderId="78" xfId="1" applyNumberFormat="1" applyFont="1" applyFill="1" applyBorder="1" applyAlignment="1">
      <alignment horizontal="center" vertical="center" wrapText="1" readingOrder="1"/>
    </xf>
    <xf numFmtId="168" fontId="147" fillId="0" borderId="79" xfId="1" applyNumberFormat="1" applyFont="1" applyFill="1" applyBorder="1" applyAlignment="1">
      <alignment horizontal="center" vertical="center" wrapText="1" readingOrder="1"/>
    </xf>
    <xf numFmtId="168" fontId="147" fillId="0" borderId="86" xfId="1" applyNumberFormat="1" applyFont="1" applyFill="1" applyBorder="1" applyAlignment="1">
      <alignment horizontal="center" vertical="center" wrapText="1" readingOrder="1"/>
    </xf>
    <xf numFmtId="168" fontId="147" fillId="0" borderId="80" xfId="1" applyNumberFormat="1" applyFont="1" applyFill="1" applyBorder="1" applyAlignment="1">
      <alignment horizontal="center" vertical="center" wrapText="1" readingOrder="1"/>
    </xf>
    <xf numFmtId="169" fontId="147" fillId="0" borderId="84" xfId="1" applyNumberFormat="1" applyFont="1" applyFill="1" applyBorder="1" applyAlignment="1">
      <alignment horizontal="center" vertical="center" wrapText="1" readingOrder="1"/>
    </xf>
    <xf numFmtId="169" fontId="147" fillId="0" borderId="85" xfId="1" applyNumberFormat="1" applyFont="1" applyFill="1" applyBorder="1" applyAlignment="1">
      <alignment horizontal="center" vertical="center" wrapText="1" readingOrder="1"/>
    </xf>
    <xf numFmtId="169" fontId="147" fillId="0" borderId="87" xfId="1" applyNumberFormat="1" applyFont="1" applyFill="1" applyBorder="1" applyAlignment="1">
      <alignment horizontal="center" vertical="center" wrapText="1" readingOrder="1"/>
    </xf>
    <xf numFmtId="169" fontId="147" fillId="0" borderId="0" xfId="1" applyNumberFormat="1" applyFont="1" applyFill="1" applyBorder="1" applyAlignment="1">
      <alignment horizontal="center" vertical="center" readingOrder="1"/>
    </xf>
    <xf numFmtId="169" fontId="147" fillId="0" borderId="88" xfId="1" applyNumberFormat="1" applyFont="1" applyFill="1" applyBorder="1" applyAlignment="1">
      <alignment horizontal="center" vertical="center" wrapText="1" readingOrder="1"/>
    </xf>
    <xf numFmtId="169" fontId="147" fillId="0" borderId="81" xfId="1" applyNumberFormat="1" applyFont="1" applyFill="1" applyBorder="1" applyAlignment="1">
      <alignment horizontal="center" vertical="center" wrapText="1" readingOrder="1"/>
    </xf>
    <xf numFmtId="169" fontId="147" fillId="0" borderId="82" xfId="1" applyNumberFormat="1" applyFont="1" applyFill="1" applyBorder="1" applyAlignment="1">
      <alignment horizontal="center" vertical="center" wrapText="1" readingOrder="1"/>
    </xf>
    <xf numFmtId="169" fontId="147" fillId="0" borderId="83" xfId="1" applyNumberFormat="1" applyFont="1" applyFill="1" applyBorder="1" applyAlignment="1">
      <alignment horizontal="center" vertical="center" wrapText="1" readingOrder="1"/>
    </xf>
    <xf numFmtId="169" fontId="147" fillId="0" borderId="86" xfId="1" applyNumberFormat="1" applyFont="1" applyFill="1" applyBorder="1" applyAlignment="1">
      <alignment horizontal="center" vertical="center" wrapText="1" readingOrder="1"/>
    </xf>
    <xf numFmtId="169" fontId="147" fillId="0" borderId="80" xfId="1" applyNumberFormat="1" applyFont="1" applyFill="1" applyBorder="1" applyAlignment="1">
      <alignment horizontal="center" vertical="center" wrapText="1" readingOrder="1"/>
    </xf>
    <xf numFmtId="168" fontId="147" fillId="0" borderId="84" xfId="1" applyNumberFormat="1" applyFont="1" applyFill="1" applyBorder="1" applyAlignment="1">
      <alignment horizontal="center" vertical="center" wrapText="1" readingOrder="1"/>
    </xf>
    <xf numFmtId="168" fontId="147" fillId="0" borderId="85" xfId="1" applyNumberFormat="1" applyFont="1" applyFill="1" applyBorder="1" applyAlignment="1">
      <alignment horizontal="center" vertical="center" wrapText="1" readingOrder="1"/>
    </xf>
    <xf numFmtId="168" fontId="147" fillId="0" borderId="87" xfId="1" applyNumberFormat="1" applyFont="1" applyFill="1" applyBorder="1" applyAlignment="1">
      <alignment horizontal="center" vertical="center" wrapText="1" readingOrder="1"/>
    </xf>
    <xf numFmtId="168" fontId="147" fillId="0" borderId="0" xfId="1" applyNumberFormat="1" applyFont="1" applyFill="1" applyBorder="1" applyAlignment="1">
      <alignment horizontal="center" vertical="center" readingOrder="1"/>
    </xf>
    <xf numFmtId="168" fontId="147" fillId="0" borderId="88" xfId="1" applyNumberFormat="1" applyFont="1" applyFill="1" applyBorder="1" applyAlignment="1">
      <alignment horizontal="center" vertical="center" wrapText="1" readingOrder="1"/>
    </xf>
    <xf numFmtId="168" fontId="147" fillId="0" borderId="81" xfId="1" applyNumberFormat="1" applyFont="1" applyFill="1" applyBorder="1" applyAlignment="1">
      <alignment horizontal="center" vertical="center" wrapText="1" readingOrder="1"/>
    </xf>
    <xf numFmtId="168" fontId="147" fillId="0" borderId="82" xfId="1" applyNumberFormat="1" applyFont="1" applyFill="1" applyBorder="1" applyAlignment="1">
      <alignment horizontal="center" vertical="center" wrapText="1" readingOrder="1"/>
    </xf>
    <xf numFmtId="168" fontId="147" fillId="0" borderId="83" xfId="1" applyNumberFormat="1" applyFont="1" applyFill="1" applyBorder="1" applyAlignment="1">
      <alignment horizontal="center" vertical="center" wrapText="1" readingOrder="1"/>
    </xf>
    <xf numFmtId="169" fontId="146" fillId="16" borderId="77" xfId="1" applyNumberFormat="1" applyFont="1" applyFill="1" applyBorder="1" applyAlignment="1">
      <alignment horizontal="center" vertical="center" wrapText="1" readingOrder="1"/>
    </xf>
    <xf numFmtId="169" fontId="145" fillId="0" borderId="78" xfId="1" applyNumberFormat="1" applyFont="1" applyFill="1" applyBorder="1" applyAlignment="1">
      <alignment horizontal="center" vertical="center" wrapText="1" readingOrder="1"/>
    </xf>
    <xf numFmtId="169" fontId="145" fillId="0" borderId="79" xfId="1" applyNumberFormat="1" applyFont="1" applyFill="1" applyBorder="1" applyAlignment="1">
      <alignment horizontal="center" vertical="center" wrapText="1" readingOrder="1"/>
    </xf>
    <xf numFmtId="168" fontId="121" fillId="0" borderId="41" xfId="1" applyNumberFormat="1" applyFont="1" applyFill="1" applyBorder="1" applyAlignment="1">
      <alignment horizontal="center" vertical="center"/>
    </xf>
    <xf numFmtId="168" fontId="121" fillId="0" borderId="29" xfId="1" applyNumberFormat="1" applyFont="1" applyFill="1" applyBorder="1" applyAlignment="1">
      <alignment horizontal="center" vertical="center"/>
    </xf>
    <xf numFmtId="168" fontId="143" fillId="0" borderId="90" xfId="1" applyNumberFormat="1" applyFont="1" applyFill="1" applyBorder="1" applyAlignment="1">
      <alignment horizontal="center" vertical="center" wrapText="1" readingOrder="1"/>
    </xf>
    <xf numFmtId="168" fontId="28" fillId="0" borderId="91" xfId="1" applyNumberFormat="1" applyFont="1" applyFill="1" applyBorder="1" applyAlignment="1">
      <alignment horizontal="center" vertical="center" wrapText="1"/>
    </xf>
    <xf numFmtId="168" fontId="28" fillId="0" borderId="92" xfId="1" applyNumberFormat="1" applyFont="1" applyFill="1" applyBorder="1" applyAlignment="1">
      <alignment horizontal="center" vertical="center" wrapText="1"/>
    </xf>
    <xf numFmtId="0" fontId="121" fillId="8" borderId="1" xfId="0" applyNumberFormat="1" applyFont="1" applyFill="1" applyBorder="1" applyAlignment="1">
      <alignment horizontal="center" vertical="center" wrapText="1" readingOrder="1"/>
    </xf>
    <xf numFmtId="0" fontId="121" fillId="8" borderId="1" xfId="0" applyNumberFormat="1" applyFont="1" applyFill="1" applyBorder="1" applyAlignment="1">
      <alignment horizontal="center" vertical="center" wrapText="1"/>
    </xf>
    <xf numFmtId="168" fontId="121" fillId="8" borderId="90" xfId="1" applyNumberFormat="1" applyFont="1" applyFill="1" applyBorder="1" applyAlignment="1">
      <alignment horizontal="center" vertical="center" wrapText="1" readingOrder="1"/>
    </xf>
    <xf numFmtId="168" fontId="121" fillId="8" borderId="91" xfId="1" applyNumberFormat="1" applyFont="1" applyFill="1" applyBorder="1" applyAlignment="1">
      <alignment horizontal="center" vertical="center" wrapText="1"/>
    </xf>
    <xf numFmtId="168" fontId="121" fillId="8" borderId="92" xfId="1" applyNumberFormat="1" applyFont="1" applyFill="1" applyBorder="1" applyAlignment="1">
      <alignment horizontal="center" vertical="center" wrapText="1"/>
    </xf>
    <xf numFmtId="168" fontId="121" fillId="0" borderId="1" xfId="1" applyNumberFormat="1" applyFont="1" applyFill="1" applyBorder="1" applyAlignment="1">
      <alignment horizontal="center" vertical="center"/>
    </xf>
    <xf numFmtId="0" fontId="147" fillId="0" borderId="0" xfId="0" applyFont="1" applyFill="1" applyBorder="1" applyAlignment="1">
      <alignment horizontal="center" vertical="center"/>
    </xf>
    <xf numFmtId="168" fontId="147" fillId="0" borderId="86" xfId="1" applyNumberFormat="1" applyFont="1" applyFill="1" applyBorder="1" applyAlignment="1">
      <alignment horizontal="center" vertical="center" wrapText="1"/>
    </xf>
    <xf numFmtId="168" fontId="147" fillId="0" borderId="80" xfId="1" applyNumberFormat="1" applyFont="1" applyFill="1" applyBorder="1" applyAlignment="1">
      <alignment horizontal="center" vertical="center" wrapText="1"/>
    </xf>
    <xf numFmtId="0" fontId="147" fillId="0" borderId="86" xfId="0" applyNumberFormat="1" applyFont="1" applyFill="1" applyBorder="1" applyAlignment="1">
      <alignment horizontal="center" vertical="center" wrapText="1"/>
    </xf>
    <xf numFmtId="0" fontId="147" fillId="0" borderId="80" xfId="0" applyNumberFormat="1" applyFont="1" applyFill="1" applyBorder="1" applyAlignment="1">
      <alignment horizontal="center" vertical="center" wrapText="1"/>
    </xf>
    <xf numFmtId="0" fontId="147" fillId="0" borderId="84" xfId="0" applyNumberFormat="1" applyFont="1" applyFill="1" applyBorder="1" applyAlignment="1">
      <alignment horizontal="center" vertical="center" wrapText="1"/>
    </xf>
    <xf numFmtId="0" fontId="147" fillId="0" borderId="85" xfId="0" applyNumberFormat="1" applyFont="1" applyFill="1" applyBorder="1" applyAlignment="1">
      <alignment horizontal="center" vertical="center" wrapText="1"/>
    </xf>
    <xf numFmtId="0" fontId="147" fillId="0" borderId="87" xfId="0" applyNumberFormat="1" applyFont="1" applyFill="1" applyBorder="1" applyAlignment="1">
      <alignment horizontal="center" vertical="center" wrapText="1"/>
    </xf>
    <xf numFmtId="0" fontId="147" fillId="0" borderId="88" xfId="0" applyNumberFormat="1" applyFont="1" applyFill="1" applyBorder="1" applyAlignment="1">
      <alignment horizontal="center" vertical="center" wrapText="1"/>
    </xf>
    <xf numFmtId="0" fontId="147" fillId="0" borderId="81" xfId="0" applyNumberFormat="1" applyFont="1" applyFill="1" applyBorder="1" applyAlignment="1">
      <alignment horizontal="center" vertical="center" wrapText="1"/>
    </xf>
    <xf numFmtId="0" fontId="147" fillId="0" borderId="82" xfId="0" applyNumberFormat="1" applyFont="1" applyFill="1" applyBorder="1" applyAlignment="1">
      <alignment horizontal="center" vertical="center" wrapText="1"/>
    </xf>
    <xf numFmtId="0" fontId="147" fillId="0" borderId="83" xfId="0" applyNumberFormat="1" applyFont="1" applyFill="1" applyBorder="1" applyAlignment="1">
      <alignment horizontal="center" vertical="center" wrapText="1"/>
    </xf>
    <xf numFmtId="168" fontId="147" fillId="0" borderId="84" xfId="1" applyNumberFormat="1" applyFont="1" applyFill="1" applyBorder="1" applyAlignment="1">
      <alignment horizontal="center" vertical="center" wrapText="1"/>
    </xf>
    <xf numFmtId="168" fontId="147" fillId="0" borderId="85" xfId="1" applyNumberFormat="1" applyFont="1" applyFill="1" applyBorder="1" applyAlignment="1">
      <alignment horizontal="center" vertical="center" wrapText="1"/>
    </xf>
    <xf numFmtId="168" fontId="147" fillId="0" borderId="87" xfId="1" applyNumberFormat="1" applyFont="1" applyFill="1" applyBorder="1" applyAlignment="1">
      <alignment horizontal="center" vertical="center" wrapText="1"/>
    </xf>
    <xf numFmtId="168" fontId="147" fillId="0" borderId="0" xfId="1" applyNumberFormat="1" applyFont="1" applyFill="1" applyBorder="1" applyAlignment="1">
      <alignment horizontal="center" vertical="center"/>
    </xf>
    <xf numFmtId="168" fontId="147" fillId="0" borderId="88" xfId="1" applyNumberFormat="1" applyFont="1" applyFill="1" applyBorder="1" applyAlignment="1">
      <alignment horizontal="center" vertical="center" wrapText="1"/>
    </xf>
    <xf numFmtId="168" fontId="147" fillId="0" borderId="81" xfId="1" applyNumberFormat="1" applyFont="1" applyFill="1" applyBorder="1" applyAlignment="1">
      <alignment horizontal="center" vertical="center" wrapText="1"/>
    </xf>
    <xf numFmtId="168" fontId="147" fillId="0" borderId="82" xfId="1" applyNumberFormat="1" applyFont="1" applyFill="1" applyBorder="1" applyAlignment="1">
      <alignment horizontal="center" vertical="center" wrapText="1"/>
    </xf>
    <xf numFmtId="168" fontId="147" fillId="0" borderId="83" xfId="1" applyNumberFormat="1" applyFont="1" applyFill="1" applyBorder="1" applyAlignment="1">
      <alignment horizontal="center" vertical="center" wrapText="1"/>
    </xf>
    <xf numFmtId="0" fontId="141" fillId="0" borderId="81" xfId="0" applyNumberFormat="1" applyFont="1" applyFill="1" applyBorder="1" applyAlignment="1">
      <alignment horizontal="center" vertical="center" wrapText="1"/>
    </xf>
    <xf numFmtId="0" fontId="141" fillId="0" borderId="82" xfId="0" applyNumberFormat="1" applyFont="1" applyFill="1" applyBorder="1" applyAlignment="1">
      <alignment horizontal="center" vertical="center" wrapText="1"/>
    </xf>
    <xf numFmtId="0" fontId="141" fillId="0" borderId="83" xfId="0" applyNumberFormat="1" applyFont="1" applyFill="1" applyBorder="1" applyAlignment="1">
      <alignment horizontal="center" vertical="center" wrapText="1"/>
    </xf>
    <xf numFmtId="168" fontId="141" fillId="0" borderId="81" xfId="1" applyNumberFormat="1" applyFont="1" applyFill="1" applyBorder="1" applyAlignment="1">
      <alignment horizontal="center" vertical="center" wrapText="1"/>
    </xf>
    <xf numFmtId="168" fontId="141" fillId="0" borderId="82" xfId="1" applyNumberFormat="1" applyFont="1" applyFill="1" applyBorder="1" applyAlignment="1">
      <alignment horizontal="center" vertical="center" wrapText="1"/>
    </xf>
    <xf numFmtId="168" fontId="141" fillId="0" borderId="83" xfId="1" applyNumberFormat="1" applyFont="1" applyFill="1" applyBorder="1" applyAlignment="1">
      <alignment horizontal="center" vertical="center" wrapText="1"/>
    </xf>
    <xf numFmtId="0" fontId="147" fillId="18" borderId="12" xfId="0" applyFont="1" applyFill="1" applyBorder="1" applyAlignment="1">
      <alignment horizontal="center" vertical="center" wrapText="1"/>
    </xf>
    <xf numFmtId="0" fontId="147" fillId="18" borderId="30" xfId="0" applyFont="1" applyFill="1" applyBorder="1" applyAlignment="1">
      <alignment horizontal="center" vertical="center" wrapText="1"/>
    </xf>
    <xf numFmtId="0" fontId="147" fillId="18" borderId="13" xfId="0" applyFont="1" applyFill="1" applyBorder="1" applyAlignment="1">
      <alignment horizontal="center" vertical="center" wrapText="1"/>
    </xf>
    <xf numFmtId="0" fontId="182" fillId="18" borderId="21" xfId="0" applyFont="1" applyFill="1" applyBorder="1" applyAlignment="1">
      <alignment horizontal="center"/>
    </xf>
    <xf numFmtId="0" fontId="182" fillId="18" borderId="22" xfId="0" applyFont="1" applyFill="1" applyBorder="1" applyAlignment="1">
      <alignment horizontal="center"/>
    </xf>
    <xf numFmtId="0" fontId="182" fillId="18" borderId="23" xfId="0" applyFont="1" applyFill="1" applyBorder="1" applyAlignment="1">
      <alignment horizontal="center"/>
    </xf>
    <xf numFmtId="49" fontId="182" fillId="18" borderId="0" xfId="0" applyNumberFormat="1" applyFont="1" applyFill="1" applyBorder="1" applyAlignment="1">
      <alignment horizontal="center"/>
    </xf>
    <xf numFmtId="0" fontId="182" fillId="18" borderId="12" xfId="0" applyFont="1" applyFill="1" applyBorder="1" applyAlignment="1">
      <alignment horizontal="center" vertical="center" wrapText="1"/>
    </xf>
    <xf numFmtId="0" fontId="182" fillId="18" borderId="30" xfId="0" applyFont="1" applyFill="1" applyBorder="1" applyAlignment="1">
      <alignment horizontal="center" vertical="center" wrapText="1"/>
    </xf>
    <xf numFmtId="0" fontId="182" fillId="18" borderId="13" xfId="0" applyFont="1" applyFill="1" applyBorder="1" applyAlignment="1">
      <alignment horizontal="center" vertical="center" wrapText="1"/>
    </xf>
    <xf numFmtId="0" fontId="182" fillId="0" borderId="26" xfId="0" applyFont="1" applyBorder="1" applyAlignment="1">
      <alignment horizontal="center" vertical="center" wrapText="1"/>
    </xf>
    <xf numFmtId="0" fontId="182" fillId="0" borderId="30" xfId="0" applyFont="1" applyBorder="1" applyAlignment="1">
      <alignment horizontal="center" vertical="center" wrapText="1"/>
    </xf>
    <xf numFmtId="0" fontId="182" fillId="0" borderId="13" xfId="0" applyFont="1" applyBorder="1" applyAlignment="1">
      <alignment horizontal="center" vertical="center" wrapText="1"/>
    </xf>
    <xf numFmtId="0" fontId="165" fillId="0" borderId="0" xfId="0" applyNumberFormat="1" applyFont="1" applyFill="1" applyBorder="1" applyAlignment="1" applyProtection="1">
      <alignment horizontal="center" vertical="center" wrapText="1"/>
      <protection locked="0"/>
    </xf>
    <xf numFmtId="0" fontId="165" fillId="0" borderId="0" xfId="0" applyNumberFormat="1" applyFont="1" applyFill="1" applyBorder="1" applyAlignment="1" applyProtection="1">
      <alignment horizontal="center" vertical="center"/>
      <protection locked="0"/>
    </xf>
    <xf numFmtId="0" fontId="165" fillId="0" borderId="0" xfId="0" applyNumberFormat="1" applyFont="1" applyFill="1" applyBorder="1" applyAlignment="1" applyProtection="1">
      <alignment horizontal="center" vertical="center" wrapText="1"/>
    </xf>
    <xf numFmtId="0" fontId="206" fillId="0" borderId="89" xfId="0" applyNumberFormat="1" applyFont="1" applyFill="1" applyBorder="1" applyAlignment="1">
      <alignment horizontal="center" vertical="center" wrapText="1" readingOrder="1"/>
    </xf>
    <xf numFmtId="0" fontId="202" fillId="0" borderId="84" xfId="0" applyNumberFormat="1" applyFont="1" applyFill="1" applyBorder="1" applyAlignment="1">
      <alignment horizontal="center" vertical="center" wrapText="1"/>
    </xf>
    <xf numFmtId="0" fontId="202" fillId="0" borderId="85" xfId="0" applyNumberFormat="1" applyFont="1" applyFill="1" applyBorder="1" applyAlignment="1">
      <alignment horizontal="center" vertical="center" wrapText="1"/>
    </xf>
    <xf numFmtId="0" fontId="206" fillId="0" borderId="115" xfId="0" applyNumberFormat="1" applyFont="1" applyFill="1" applyBorder="1" applyAlignment="1">
      <alignment horizontal="center" vertical="center" wrapText="1" readingOrder="1"/>
    </xf>
    <xf numFmtId="0" fontId="202" fillId="0" borderId="5" xfId="0" applyFont="1" applyFill="1" applyBorder="1" applyAlignment="1">
      <alignment horizontal="center" vertical="center"/>
    </xf>
    <xf numFmtId="0" fontId="202" fillId="0" borderId="117" xfId="0" applyNumberFormat="1" applyFont="1" applyFill="1" applyBorder="1" applyAlignment="1">
      <alignment horizontal="center" vertical="center" wrapText="1"/>
    </xf>
    <xf numFmtId="0" fontId="206" fillId="0" borderId="86" xfId="0" applyNumberFormat="1" applyFont="1" applyFill="1" applyBorder="1" applyAlignment="1">
      <alignment horizontal="center" vertical="center" wrapText="1" readingOrder="1"/>
    </xf>
    <xf numFmtId="0" fontId="202" fillId="0" borderId="0" xfId="0" applyFont="1" applyFill="1" applyBorder="1" applyAlignment="1">
      <alignment horizontal="center" vertical="center"/>
    </xf>
    <xf numFmtId="0" fontId="202" fillId="0" borderId="88" xfId="0" applyNumberFormat="1" applyFont="1" applyFill="1" applyBorder="1" applyAlignment="1">
      <alignment horizontal="center" vertical="center" wrapText="1"/>
    </xf>
    <xf numFmtId="0" fontId="206" fillId="0" borderId="88" xfId="0" applyNumberFormat="1" applyFont="1" applyFill="1" applyBorder="1" applyAlignment="1">
      <alignment horizontal="center" vertical="center" wrapText="1" readingOrder="1"/>
    </xf>
    <xf numFmtId="0" fontId="206" fillId="0" borderId="0" xfId="0" applyNumberFormat="1" applyFont="1" applyFill="1" applyBorder="1" applyAlignment="1">
      <alignment horizontal="center" vertical="center" wrapText="1" readingOrder="1"/>
    </xf>
    <xf numFmtId="0" fontId="205" fillId="16" borderId="77" xfId="0" applyNumberFormat="1" applyFont="1" applyFill="1" applyBorder="1" applyAlignment="1">
      <alignment horizontal="center" vertical="center" wrapText="1" readingOrder="1"/>
    </xf>
    <xf numFmtId="0" fontId="202" fillId="0" borderId="78" xfId="0" applyNumberFormat="1" applyFont="1" applyFill="1" applyBorder="1" applyAlignment="1">
      <alignment horizontal="center" vertical="center" wrapText="1"/>
    </xf>
    <xf numFmtId="0" fontId="202" fillId="0" borderId="79" xfId="0" applyNumberFormat="1" applyFont="1" applyFill="1" applyBorder="1" applyAlignment="1">
      <alignment horizontal="center" vertical="center" wrapText="1"/>
    </xf>
    <xf numFmtId="0" fontId="206" fillId="0" borderId="83" xfId="0" applyNumberFormat="1" applyFont="1" applyFill="1" applyBorder="1" applyAlignment="1">
      <alignment horizontal="center" vertical="center" wrapText="1" readingOrder="1"/>
    </xf>
    <xf numFmtId="0" fontId="211" fillId="0" borderId="82" xfId="0" applyNumberFormat="1" applyFont="1" applyFill="1" applyBorder="1" applyAlignment="1">
      <alignment horizontal="center" vertical="center" wrapText="1"/>
    </xf>
    <xf numFmtId="0" fontId="211" fillId="0" borderId="83" xfId="0" applyNumberFormat="1" applyFont="1" applyFill="1" applyBorder="1" applyAlignment="1">
      <alignment horizontal="center" vertical="center" wrapText="1"/>
    </xf>
    <xf numFmtId="0" fontId="206" fillId="0" borderId="82" xfId="0" applyNumberFormat="1" applyFont="1" applyFill="1" applyBorder="1" applyAlignment="1">
      <alignment horizontal="center" vertical="center" wrapText="1" readingOrder="1"/>
    </xf>
    <xf numFmtId="0" fontId="206" fillId="0" borderId="80" xfId="0" applyNumberFormat="1" applyFont="1" applyFill="1" applyBorder="1" applyAlignment="1">
      <alignment horizontal="center" vertical="center" wrapText="1" readingOrder="1"/>
    </xf>
    <xf numFmtId="0" fontId="226" fillId="0" borderId="0" xfId="0" applyNumberFormat="1" applyFont="1" applyFill="1" applyBorder="1" applyAlignment="1">
      <alignment horizontal="center" vertical="center" wrapText="1" readingOrder="1"/>
    </xf>
    <xf numFmtId="0" fontId="210" fillId="0" borderId="0" xfId="0" applyFont="1" applyFill="1" applyBorder="1" applyAlignment="1">
      <alignment horizontal="center" vertical="center"/>
    </xf>
    <xf numFmtId="0" fontId="227" fillId="0" borderId="0" xfId="0" applyNumberFormat="1" applyFont="1" applyFill="1" applyBorder="1" applyAlignment="1">
      <alignment horizontal="center" vertical="center" wrapText="1" readingOrder="1"/>
    </xf>
    <xf numFmtId="0" fontId="228" fillId="0" borderId="0" xfId="0" applyNumberFormat="1" applyFont="1" applyFill="1" applyBorder="1" applyAlignment="1">
      <alignment horizontal="center" vertical="center" wrapText="1" readingOrder="1"/>
    </xf>
    <xf numFmtId="0" fontId="211" fillId="0" borderId="84" xfId="0" applyNumberFormat="1" applyFont="1" applyFill="1" applyBorder="1" applyAlignment="1">
      <alignment horizontal="center" vertical="center" wrapText="1"/>
    </xf>
    <xf numFmtId="0" fontId="211" fillId="0" borderId="85" xfId="0" applyNumberFormat="1" applyFont="1" applyFill="1" applyBorder="1" applyAlignment="1">
      <alignment horizontal="center" vertical="center" wrapText="1"/>
    </xf>
    <xf numFmtId="0" fontId="211" fillId="0" borderId="0" xfId="0" applyFont="1" applyFill="1" applyBorder="1" applyAlignment="1">
      <alignment horizontal="center" vertical="center"/>
    </xf>
    <xf numFmtId="0" fontId="211" fillId="0" borderId="88" xfId="0" applyNumberFormat="1" applyFont="1" applyFill="1" applyBorder="1" applyAlignment="1">
      <alignment horizontal="center" vertical="center" wrapText="1"/>
    </xf>
    <xf numFmtId="0" fontId="211" fillId="0" borderId="78" xfId="0" applyNumberFormat="1" applyFont="1" applyFill="1" applyBorder="1" applyAlignment="1">
      <alignment horizontal="center" vertical="center" wrapText="1"/>
    </xf>
    <xf numFmtId="0" fontId="211" fillId="0" borderId="79" xfId="0" applyNumberFormat="1" applyFont="1" applyFill="1" applyBorder="1" applyAlignment="1">
      <alignment horizontal="center" vertical="center" wrapText="1"/>
    </xf>
    <xf numFmtId="0" fontId="212" fillId="0" borderId="0" xfId="0" applyNumberFormat="1" applyFont="1" applyFill="1" applyBorder="1" applyAlignment="1">
      <alignment horizontal="center" vertical="center" wrapText="1" readingOrder="1"/>
    </xf>
    <xf numFmtId="0" fontId="213" fillId="0" borderId="0" xfId="0" applyNumberFormat="1" applyFont="1" applyFill="1" applyBorder="1" applyAlignment="1">
      <alignment horizontal="center" vertical="center" wrapText="1" readingOrder="1"/>
    </xf>
    <xf numFmtId="0" fontId="214" fillId="0" borderId="0" xfId="0" applyNumberFormat="1" applyFont="1" applyFill="1" applyBorder="1" applyAlignment="1">
      <alignment horizontal="center" vertical="center" wrapText="1" readingOrder="1"/>
    </xf>
    <xf numFmtId="0" fontId="33" fillId="0" borderId="0" xfId="0" applyFont="1" applyFill="1" applyBorder="1" applyAlignment="1">
      <alignment horizontal="center" vertical="center"/>
    </xf>
    <xf numFmtId="0" fontId="214" fillId="8" borderId="0" xfId="0" applyNumberFormat="1" applyFont="1" applyFill="1" applyBorder="1" applyAlignment="1">
      <alignment horizontal="center" vertical="center" wrapText="1" readingOrder="1"/>
    </xf>
    <xf numFmtId="0" fontId="33" fillId="8" borderId="0" xfId="0" applyFont="1" applyFill="1" applyBorder="1" applyAlignment="1">
      <alignment horizontal="center" vertical="center"/>
    </xf>
    <xf numFmtId="0" fontId="216" fillId="0" borderId="86" xfId="0" applyNumberFormat="1" applyFont="1" applyFill="1" applyBorder="1" applyAlignment="1">
      <alignment horizontal="center" vertical="center" wrapText="1" readingOrder="1"/>
    </xf>
    <xf numFmtId="0" fontId="33" fillId="0" borderId="88" xfId="0" applyNumberFormat="1" applyFont="1" applyFill="1" applyBorder="1" applyAlignment="1">
      <alignment horizontal="center" vertical="center" wrapText="1"/>
    </xf>
    <xf numFmtId="0" fontId="216" fillId="0" borderId="88" xfId="0" applyNumberFormat="1" applyFont="1" applyFill="1" applyBorder="1" applyAlignment="1">
      <alignment horizontal="center" vertical="center" wrapText="1" readingOrder="1"/>
    </xf>
    <xf numFmtId="0" fontId="33" fillId="0" borderId="0" xfId="0" applyNumberFormat="1" applyFont="1" applyFill="1" applyBorder="1" applyAlignment="1">
      <alignment horizontal="center" vertical="center" wrapText="1"/>
    </xf>
    <xf numFmtId="0" fontId="216" fillId="0" borderId="0" xfId="0" applyNumberFormat="1" applyFont="1" applyFill="1" applyBorder="1" applyAlignment="1">
      <alignment horizontal="center" vertical="center" wrapText="1" readingOrder="1"/>
    </xf>
    <xf numFmtId="0" fontId="216" fillId="0" borderId="89" xfId="0" applyNumberFormat="1" applyFont="1" applyFill="1" applyBorder="1" applyAlignment="1">
      <alignment horizontal="center" vertical="center" wrapText="1" readingOrder="1"/>
    </xf>
    <xf numFmtId="0" fontId="33" fillId="0" borderId="84" xfId="0" applyNumberFormat="1" applyFont="1" applyFill="1" applyBorder="1" applyAlignment="1">
      <alignment horizontal="center" vertical="center" wrapText="1"/>
    </xf>
    <xf numFmtId="0" fontId="33" fillId="0" borderId="85" xfId="0" applyNumberFormat="1" applyFont="1" applyFill="1" applyBorder="1" applyAlignment="1">
      <alignment horizontal="center" vertical="center" wrapText="1"/>
    </xf>
    <xf numFmtId="0" fontId="214" fillId="11" borderId="0" xfId="0" applyNumberFormat="1" applyFont="1" applyFill="1" applyBorder="1" applyAlignment="1">
      <alignment horizontal="center" vertical="center" wrapText="1" readingOrder="1"/>
    </xf>
    <xf numFmtId="0" fontId="33" fillId="11" borderId="0" xfId="0" applyFont="1" applyFill="1" applyBorder="1" applyAlignment="1">
      <alignment horizontal="center" vertical="center"/>
    </xf>
    <xf numFmtId="0" fontId="225" fillId="16" borderId="77" xfId="0" applyNumberFormat="1" applyFont="1" applyFill="1" applyBorder="1" applyAlignment="1">
      <alignment horizontal="center" vertical="center" wrapText="1" readingOrder="1"/>
    </xf>
    <xf numFmtId="0" fontId="33" fillId="0" borderId="78" xfId="0" applyNumberFormat="1" applyFont="1" applyFill="1" applyBorder="1" applyAlignment="1">
      <alignment horizontal="center" vertical="center" wrapText="1"/>
    </xf>
    <xf numFmtId="0" fontId="33" fillId="0" borderId="79" xfId="0" applyNumberFormat="1" applyFont="1" applyFill="1" applyBorder="1" applyAlignment="1">
      <alignment horizontal="center" vertical="center" wrapText="1"/>
    </xf>
    <xf numFmtId="0" fontId="206" fillId="0" borderId="106" xfId="0" applyNumberFormat="1" applyFont="1" applyFill="1" applyBorder="1" applyAlignment="1">
      <alignment horizontal="center" vertical="center" wrapText="1" readingOrder="1"/>
    </xf>
    <xf numFmtId="0" fontId="206" fillId="0" borderId="84" xfId="0" applyNumberFormat="1" applyFont="1" applyFill="1" applyBorder="1" applyAlignment="1">
      <alignment horizontal="center" vertical="center" wrapText="1" readingOrder="1"/>
    </xf>
    <xf numFmtId="0" fontId="206" fillId="0" borderId="85" xfId="0" applyNumberFormat="1" applyFont="1" applyFill="1" applyBorder="1" applyAlignment="1">
      <alignment horizontal="center" vertical="center" wrapText="1" readingOrder="1"/>
    </xf>
    <xf numFmtId="0" fontId="202" fillId="0" borderId="86" xfId="0" applyFont="1" applyFill="1" applyBorder="1" applyAlignment="1">
      <alignment horizontal="center" vertical="center" wrapText="1" readingOrder="1"/>
    </xf>
    <xf numFmtId="0" fontId="202" fillId="0" borderId="115" xfId="0" applyFont="1" applyFill="1" applyBorder="1" applyAlignment="1">
      <alignment horizontal="center" vertical="center" wrapText="1" readingOrder="1"/>
    </xf>
    <xf numFmtId="0" fontId="206" fillId="0" borderId="1" xfId="0" applyNumberFormat="1" applyFont="1" applyFill="1" applyBorder="1" applyAlignment="1">
      <alignment horizontal="center" vertical="center" wrapText="1" readingOrder="1"/>
    </xf>
    <xf numFmtId="0" fontId="202" fillId="0" borderId="1" xfId="0" applyFont="1" applyFill="1" applyBorder="1" applyAlignment="1">
      <alignment horizontal="center" vertical="center" wrapText="1" readingOrder="1"/>
    </xf>
    <xf numFmtId="0" fontId="202" fillId="0" borderId="80" xfId="0" applyFont="1" applyFill="1" applyBorder="1" applyAlignment="1">
      <alignment horizontal="center" vertical="center" wrapText="1" readingOrder="1"/>
    </xf>
    <xf numFmtId="0" fontId="221" fillId="0" borderId="0" xfId="0" applyNumberFormat="1" applyFont="1" applyFill="1" applyBorder="1" applyAlignment="1">
      <alignment horizontal="center" vertical="center" wrapText="1"/>
    </xf>
    <xf numFmtId="0" fontId="222" fillId="0" borderId="0" xfId="0" applyFont="1" applyFill="1" applyBorder="1" applyAlignment="1">
      <alignment horizontal="center" vertical="center"/>
    </xf>
    <xf numFmtId="0" fontId="203" fillId="0" borderId="0" xfId="0" applyNumberFormat="1" applyFont="1" applyFill="1" applyBorder="1" applyAlignment="1">
      <alignment horizontal="center" vertical="center" wrapText="1"/>
    </xf>
    <xf numFmtId="0" fontId="204" fillId="0" borderId="0" xfId="0" applyNumberFormat="1" applyFont="1" applyFill="1" applyBorder="1" applyAlignment="1">
      <alignment horizontal="center" vertical="center" wrapText="1"/>
    </xf>
    <xf numFmtId="0" fontId="202" fillId="0" borderId="82" xfId="0" applyNumberFormat="1" applyFont="1" applyFill="1" applyBorder="1" applyAlignment="1">
      <alignment horizontal="center" vertical="center" wrapText="1"/>
    </xf>
    <xf numFmtId="0" fontId="202" fillId="0" borderId="83" xfId="0" applyNumberFormat="1" applyFont="1" applyFill="1" applyBorder="1" applyAlignment="1">
      <alignment horizontal="center" vertical="center" wrapText="1"/>
    </xf>
    <xf numFmtId="0" fontId="204" fillId="8" borderId="0" xfId="0" applyNumberFormat="1" applyFont="1" applyFill="1" applyBorder="1" applyAlignment="1">
      <alignment horizontal="center" vertical="center" wrapText="1"/>
    </xf>
    <xf numFmtId="0" fontId="202" fillId="8" borderId="0" xfId="0" applyFont="1" applyFill="1" applyBorder="1" applyAlignment="1">
      <alignment horizontal="center" vertical="center"/>
    </xf>
    <xf numFmtId="0" fontId="206" fillId="0" borderId="81" xfId="0" applyNumberFormat="1" applyFont="1" applyFill="1" applyBorder="1" applyAlignment="1">
      <alignment vertical="center" wrapText="1" readingOrder="1"/>
    </xf>
    <xf numFmtId="0" fontId="202" fillId="0" borderId="82" xfId="0" applyFont="1" applyFill="1" applyBorder="1" applyAlignment="1">
      <alignment vertical="center"/>
    </xf>
    <xf numFmtId="0" fontId="202" fillId="0" borderId="83" xfId="0" applyFont="1" applyFill="1" applyBorder="1" applyAlignment="1">
      <alignment vertical="center"/>
    </xf>
    <xf numFmtId="0" fontId="223" fillId="0" borderId="0" xfId="0" applyNumberFormat="1" applyFont="1" applyFill="1" applyBorder="1" applyAlignment="1">
      <alignment horizontal="center" vertical="center" wrapText="1"/>
    </xf>
    <xf numFmtId="0" fontId="207" fillId="0" borderId="0" xfId="0" applyFont="1" applyFill="1" applyBorder="1" applyAlignment="1">
      <alignment horizontal="center" vertical="center"/>
    </xf>
    <xf numFmtId="0" fontId="224" fillId="0" borderId="0" xfId="0" applyNumberFormat="1" applyFont="1" applyFill="1" applyBorder="1" applyAlignment="1">
      <alignment horizontal="center" vertical="center" wrapText="1"/>
    </xf>
    <xf numFmtId="0" fontId="206" fillId="0" borderId="106" xfId="0" applyNumberFormat="1" applyFont="1" applyFill="1" applyBorder="1" applyAlignment="1">
      <alignment vertical="center" wrapText="1" readingOrder="1"/>
    </xf>
    <xf numFmtId="0" fontId="202" fillId="0" borderId="84" xfId="0" applyFont="1" applyFill="1" applyBorder="1" applyAlignment="1">
      <alignment vertical="center"/>
    </xf>
    <xf numFmtId="0" fontId="202" fillId="0" borderId="85" xfId="0" applyFont="1" applyFill="1" applyBorder="1" applyAlignment="1">
      <alignment vertical="center"/>
    </xf>
    <xf numFmtId="0" fontId="206" fillId="0" borderId="87" xfId="0" applyNumberFormat="1" applyFont="1" applyFill="1" applyBorder="1" applyAlignment="1">
      <alignment vertical="center" wrapText="1" readingOrder="1"/>
    </xf>
    <xf numFmtId="0" fontId="202" fillId="0" borderId="0" xfId="0" applyFont="1" applyFill="1" applyBorder="1" applyAlignment="1">
      <alignment vertical="center"/>
    </xf>
    <xf numFmtId="0" fontId="202" fillId="0" borderId="88" xfId="0" applyFont="1" applyFill="1" applyBorder="1" applyAlignment="1">
      <alignment vertical="center"/>
    </xf>
    <xf numFmtId="0" fontId="206" fillId="0" borderId="106" xfId="0" applyNumberFormat="1" applyFont="1" applyFill="1" applyBorder="1" applyAlignment="1">
      <alignment vertical="center" readingOrder="1"/>
    </xf>
    <xf numFmtId="0" fontId="206" fillId="0" borderId="87" xfId="0" applyNumberFormat="1" applyFont="1" applyFill="1" applyBorder="1" applyAlignment="1">
      <alignment vertical="center" readingOrder="1"/>
    </xf>
    <xf numFmtId="0" fontId="203" fillId="0" borderId="0" xfId="0" applyNumberFormat="1" applyFont="1" applyFill="1" applyBorder="1" applyAlignment="1">
      <alignment horizontal="center" vertical="center" wrapText="1" readingOrder="1"/>
    </xf>
    <xf numFmtId="0" fontId="204" fillId="0" borderId="0" xfId="0" applyNumberFormat="1" applyFont="1" applyFill="1" applyBorder="1" applyAlignment="1">
      <alignment horizontal="center" vertical="center" wrapText="1" readingOrder="1"/>
    </xf>
    <xf numFmtId="0" fontId="29" fillId="0" borderId="0" xfId="0" applyFont="1" applyFill="1" applyBorder="1" applyAlignment="1">
      <alignment horizontal="center" vertical="center"/>
    </xf>
    <xf numFmtId="0" fontId="144" fillId="0" borderId="86" xfId="0" applyNumberFormat="1" applyFont="1" applyFill="1" applyBorder="1" applyAlignment="1">
      <alignment horizontal="center" vertical="center" wrapText="1" readingOrder="1"/>
    </xf>
    <xf numFmtId="0" fontId="144" fillId="0" borderId="0" xfId="0" applyFont="1" applyFill="1" applyBorder="1" applyAlignment="1">
      <alignment horizontal="center" vertical="center"/>
    </xf>
    <xf numFmtId="0" fontId="144" fillId="0" borderId="88" xfId="0" applyNumberFormat="1" applyFont="1" applyFill="1" applyBorder="1" applyAlignment="1">
      <alignment horizontal="center" vertical="center" wrapText="1"/>
    </xf>
    <xf numFmtId="0" fontId="144" fillId="0" borderId="88" xfId="0" applyNumberFormat="1" applyFont="1" applyFill="1" applyBorder="1" applyAlignment="1">
      <alignment horizontal="center" vertical="center" wrapText="1" readingOrder="1"/>
    </xf>
    <xf numFmtId="0" fontId="144" fillId="0" borderId="0" xfId="0" applyNumberFormat="1" applyFont="1" applyFill="1" applyBorder="1" applyAlignment="1">
      <alignment horizontal="center" vertical="center" wrapText="1"/>
    </xf>
    <xf numFmtId="0" fontId="144" fillId="0" borderId="0" xfId="0" applyNumberFormat="1" applyFont="1" applyFill="1" applyBorder="1" applyAlignment="1">
      <alignment horizontal="center" vertical="center" wrapText="1" readingOrder="1"/>
    </xf>
    <xf numFmtId="0" fontId="144" fillId="0" borderId="89" xfId="0" applyNumberFormat="1" applyFont="1" applyFill="1" applyBorder="1" applyAlignment="1">
      <alignment horizontal="center" vertical="center" wrapText="1" readingOrder="1"/>
    </xf>
    <xf numFmtId="0" fontId="144" fillId="0" borderId="84" xfId="0" applyNumberFormat="1" applyFont="1" applyFill="1" applyBorder="1" applyAlignment="1">
      <alignment horizontal="center" vertical="center" wrapText="1"/>
    </xf>
    <xf numFmtId="0" fontId="144" fillId="0" borderId="85" xfId="0" applyNumberFormat="1" applyFont="1" applyFill="1" applyBorder="1" applyAlignment="1">
      <alignment horizontal="center" vertical="center" wrapText="1"/>
    </xf>
    <xf numFmtId="0" fontId="217" fillId="0" borderId="0" xfId="0" applyNumberFormat="1" applyFont="1" applyFill="1" applyBorder="1" applyAlignment="1">
      <alignment horizontal="center" vertical="center" wrapText="1" readingOrder="1"/>
    </xf>
    <xf numFmtId="0" fontId="218" fillId="0" borderId="0" xfId="0" applyNumberFormat="1" applyFont="1" applyFill="1" applyBorder="1" applyAlignment="1">
      <alignment horizontal="center" vertical="center" wrapText="1" readingOrder="1"/>
    </xf>
    <xf numFmtId="0" fontId="220" fillId="16" borderId="77" xfId="0" applyNumberFormat="1" applyFont="1" applyFill="1" applyBorder="1" applyAlignment="1">
      <alignment horizontal="center" vertical="center" wrapText="1" readingOrder="1"/>
    </xf>
    <xf numFmtId="0" fontId="219" fillId="0" borderId="78" xfId="0" applyNumberFormat="1" applyFont="1" applyFill="1" applyBorder="1" applyAlignment="1">
      <alignment horizontal="center" vertical="center" wrapText="1"/>
    </xf>
    <xf numFmtId="0" fontId="219" fillId="0" borderId="79" xfId="0" applyNumberFormat="1" applyFont="1" applyFill="1" applyBorder="1" applyAlignment="1">
      <alignment horizontal="center" vertical="center" wrapText="1"/>
    </xf>
    <xf numFmtId="0" fontId="211" fillId="0" borderId="0" xfId="0" applyFont="1" applyFill="1" applyBorder="1" applyAlignment="1">
      <alignment horizontal="center" vertical="center" readingOrder="1"/>
    </xf>
    <xf numFmtId="0" fontId="211" fillId="0" borderId="88" xfId="0" applyNumberFormat="1" applyFont="1" applyFill="1" applyBorder="1" applyAlignment="1">
      <alignment horizontal="center" vertical="center" wrapText="1" readingOrder="1"/>
    </xf>
    <xf numFmtId="0" fontId="211" fillId="0" borderId="82" xfId="0" applyNumberFormat="1" applyFont="1" applyFill="1" applyBorder="1" applyAlignment="1">
      <alignment horizontal="center" vertical="center" wrapText="1" readingOrder="1"/>
    </xf>
    <xf numFmtId="0" fontId="211" fillId="0" borderId="83" xfId="0" applyNumberFormat="1" applyFont="1" applyFill="1" applyBorder="1" applyAlignment="1">
      <alignment horizontal="center" vertical="center" wrapText="1" readingOrder="1"/>
    </xf>
    <xf numFmtId="0" fontId="211" fillId="0" borderId="84" xfId="0" applyNumberFormat="1" applyFont="1" applyFill="1" applyBorder="1" applyAlignment="1">
      <alignment horizontal="center" vertical="center" wrapText="1" readingOrder="1"/>
    </xf>
    <xf numFmtId="0" fontId="211" fillId="0" borderId="85" xfId="0" applyNumberFormat="1" applyFont="1" applyFill="1" applyBorder="1" applyAlignment="1">
      <alignment horizontal="center" vertical="center" wrapText="1" readingOrder="1"/>
    </xf>
    <xf numFmtId="0" fontId="211" fillId="0" borderId="78" xfId="0" applyNumberFormat="1" applyFont="1" applyFill="1" applyBorder="1" applyAlignment="1">
      <alignment horizontal="center" vertical="center" wrapText="1" readingOrder="1"/>
    </xf>
    <xf numFmtId="0" fontId="211" fillId="0" borderId="79" xfId="0" applyNumberFormat="1" applyFont="1" applyFill="1" applyBorder="1" applyAlignment="1">
      <alignment horizontal="center" vertical="center" wrapText="1" readingOrder="1"/>
    </xf>
    <xf numFmtId="0" fontId="200" fillId="0" borderId="0" xfId="0" applyNumberFormat="1" applyFont="1" applyFill="1" applyBorder="1" applyAlignment="1">
      <alignment horizontal="center" vertical="center" wrapText="1" readingOrder="1"/>
    </xf>
    <xf numFmtId="0" fontId="201" fillId="0" borderId="0" xfId="0" applyFont="1" applyFill="1" applyBorder="1" applyAlignment="1">
      <alignment horizontal="center" vertical="center"/>
    </xf>
    <xf numFmtId="0" fontId="201" fillId="0" borderId="0" xfId="0" applyFont="1" applyFill="1" applyBorder="1" applyAlignment="1">
      <alignment horizontal="center" vertical="center" readingOrder="1"/>
    </xf>
    <xf numFmtId="0" fontId="202" fillId="0" borderId="0" xfId="0" applyFont="1" applyFill="1" applyBorder="1" applyAlignment="1">
      <alignment horizontal="center" vertical="center" readingOrder="1"/>
    </xf>
    <xf numFmtId="0" fontId="191" fillId="14" borderId="0" xfId="4" applyFont="1" applyFill="1" applyBorder="1" applyAlignment="1" applyProtection="1">
      <alignment horizontal="center"/>
      <protection locked="0"/>
    </xf>
    <xf numFmtId="3" fontId="192" fillId="8" borderId="0" xfId="0" applyNumberFormat="1" applyFont="1" applyFill="1" applyBorder="1" applyAlignment="1" applyProtection="1">
      <alignment horizontal="center"/>
      <protection locked="0"/>
    </xf>
    <xf numFmtId="0" fontId="191" fillId="14" borderId="27" xfId="4" applyFont="1" applyFill="1" applyBorder="1" applyAlignment="1" applyProtection="1">
      <alignment horizontal="center"/>
      <protection locked="0"/>
    </xf>
    <xf numFmtId="167" fontId="187" fillId="8" borderId="33" xfId="1" applyNumberFormat="1" applyFont="1" applyFill="1" applyBorder="1" applyAlignment="1">
      <alignment horizontal="center"/>
    </xf>
    <xf numFmtId="167" fontId="187" fillId="8" borderId="34" xfId="1" applyNumberFormat="1" applyFont="1" applyFill="1" applyBorder="1" applyAlignment="1">
      <alignment horizontal="center"/>
    </xf>
    <xf numFmtId="167" fontId="191" fillId="8" borderId="22" xfId="1" applyNumberFormat="1" applyFont="1" applyFill="1" applyBorder="1" applyAlignment="1">
      <alignment horizontal="center"/>
    </xf>
    <xf numFmtId="167" fontId="191" fillId="8" borderId="27" xfId="1" applyNumberFormat="1" applyFont="1" applyFill="1" applyBorder="1" applyAlignment="1">
      <alignment horizontal="center"/>
    </xf>
    <xf numFmtId="167" fontId="193" fillId="8" borderId="12" xfId="1" applyNumberFormat="1" applyFont="1" applyFill="1" applyBorder="1" applyAlignment="1">
      <alignment horizontal="center"/>
    </xf>
    <xf numFmtId="167" fontId="193" fillId="8" borderId="30" xfId="1" applyNumberFormat="1" applyFont="1" applyFill="1" applyBorder="1" applyAlignment="1">
      <alignment horizontal="center"/>
    </xf>
    <xf numFmtId="167" fontId="193" fillId="8" borderId="13" xfId="1" applyNumberFormat="1" applyFont="1" applyFill="1" applyBorder="1" applyAlignment="1">
      <alignment horizontal="center"/>
    </xf>
    <xf numFmtId="167" fontId="192" fillId="8" borderId="12" xfId="1" applyNumberFormat="1" applyFont="1" applyFill="1" applyBorder="1" applyAlignment="1">
      <alignment horizontal="center"/>
    </xf>
    <xf numFmtId="167" fontId="192" fillId="8" borderId="30" xfId="1" applyNumberFormat="1" applyFont="1" applyFill="1" applyBorder="1" applyAlignment="1">
      <alignment horizontal="center"/>
    </xf>
    <xf numFmtId="167" fontId="191" fillId="8" borderId="12" xfId="1" applyNumberFormat="1" applyFont="1" applyFill="1" applyBorder="1" applyAlignment="1">
      <alignment horizontal="center"/>
    </xf>
    <xf numFmtId="167" fontId="191" fillId="8" borderId="30" xfId="1" applyNumberFormat="1" applyFont="1" applyFill="1" applyBorder="1" applyAlignment="1">
      <alignment horizontal="center"/>
    </xf>
    <xf numFmtId="167" fontId="191" fillId="8" borderId="13" xfId="1" applyNumberFormat="1" applyFont="1" applyFill="1" applyBorder="1" applyAlignment="1">
      <alignment horizontal="center"/>
    </xf>
    <xf numFmtId="0" fontId="143" fillId="0" borderId="89" xfId="0" applyNumberFormat="1" applyFont="1" applyFill="1" applyBorder="1" applyAlignment="1">
      <alignment horizontal="left" vertical="top" wrapText="1" readingOrder="1"/>
    </xf>
    <xf numFmtId="0" fontId="141" fillId="0" borderId="84" xfId="0" applyNumberFormat="1" applyFont="1" applyFill="1" applyBorder="1" applyAlignment="1">
      <alignment vertical="top" wrapText="1"/>
    </xf>
    <xf numFmtId="0" fontId="141" fillId="0" borderId="85" xfId="0" applyNumberFormat="1" applyFont="1" applyFill="1" applyBorder="1" applyAlignment="1">
      <alignment vertical="top" wrapText="1"/>
    </xf>
    <xf numFmtId="0" fontId="143" fillId="0" borderId="1" xfId="0" applyNumberFormat="1" applyFont="1" applyFill="1" applyBorder="1" applyAlignment="1">
      <alignment horizontal="left" vertical="top" wrapText="1" readingOrder="1"/>
    </xf>
    <xf numFmtId="0" fontId="141" fillId="0" borderId="1" xfId="0" applyNumberFormat="1" applyFont="1" applyFill="1" applyBorder="1" applyAlignment="1">
      <alignment vertical="top" wrapText="1"/>
    </xf>
    <xf numFmtId="0" fontId="141" fillId="0" borderId="14" xfId="0" applyFont="1" applyFill="1" applyBorder="1" applyAlignment="1">
      <alignment horizontal="left"/>
    </xf>
    <xf numFmtId="0" fontId="141" fillId="0" borderId="41" xfId="0" applyFont="1" applyFill="1" applyBorder="1" applyAlignment="1">
      <alignment horizontal="left"/>
    </xf>
    <xf numFmtId="0" fontId="141" fillId="0" borderId="29" xfId="0" applyFont="1" applyFill="1" applyBorder="1" applyAlignment="1">
      <alignment horizontal="left"/>
    </xf>
    <xf numFmtId="0" fontId="229" fillId="0" borderId="0" xfId="0" applyNumberFormat="1" applyFont="1" applyFill="1" applyBorder="1" applyAlignment="1">
      <alignment vertical="top" wrapText="1" readingOrder="1"/>
    </xf>
    <xf numFmtId="0" fontId="141" fillId="0" borderId="0" xfId="0" applyFont="1" applyFill="1" applyBorder="1"/>
    <xf numFmtId="0" fontId="142" fillId="26" borderId="77" xfId="0" applyNumberFormat="1" applyFont="1" applyFill="1" applyBorder="1" applyAlignment="1">
      <alignment horizontal="center" vertical="top" wrapText="1" readingOrder="1"/>
    </xf>
    <xf numFmtId="0" fontId="141" fillId="27" borderId="78" xfId="0" applyNumberFormat="1" applyFont="1" applyFill="1" applyBorder="1" applyAlignment="1">
      <alignment vertical="top" wrapText="1"/>
    </xf>
    <xf numFmtId="0" fontId="141" fillId="27" borderId="79" xfId="0" applyNumberFormat="1" applyFont="1" applyFill="1" applyBorder="1" applyAlignment="1">
      <alignment vertical="top" wrapText="1"/>
    </xf>
    <xf numFmtId="0" fontId="143" fillId="0" borderId="77" xfId="0" applyNumberFormat="1" applyFont="1" applyFill="1" applyBorder="1" applyAlignment="1">
      <alignment horizontal="left" vertical="center" wrapText="1" readingOrder="1"/>
    </xf>
    <xf numFmtId="0" fontId="141" fillId="0" borderId="80" xfId="0" applyNumberFormat="1" applyFont="1" applyFill="1" applyBorder="1" applyAlignment="1">
      <alignment vertical="center" wrapText="1" readingOrder="1"/>
    </xf>
    <xf numFmtId="0" fontId="141" fillId="0" borderId="81" xfId="0" applyNumberFormat="1" applyFont="1" applyFill="1" applyBorder="1" applyAlignment="1">
      <alignment vertical="top" wrapText="1"/>
    </xf>
    <xf numFmtId="0" fontId="141" fillId="0" borderId="82" xfId="0" applyNumberFormat="1" applyFont="1" applyFill="1" applyBorder="1" applyAlignment="1">
      <alignment vertical="top" wrapText="1"/>
    </xf>
    <xf numFmtId="0" fontId="141" fillId="0" borderId="83" xfId="0" applyNumberFormat="1" applyFont="1" applyFill="1" applyBorder="1" applyAlignment="1">
      <alignment vertical="top" wrapText="1"/>
    </xf>
    <xf numFmtId="0" fontId="191" fillId="4" borderId="27" xfId="4" applyFont="1" applyFill="1" applyBorder="1" applyAlignment="1" applyProtection="1">
      <alignment horizontal="center"/>
      <protection locked="0"/>
    </xf>
    <xf numFmtId="167" fontId="187" fillId="2" borderId="33" xfId="1" applyNumberFormat="1" applyFont="1" applyFill="1" applyBorder="1" applyAlignment="1">
      <alignment horizontal="center"/>
    </xf>
    <xf numFmtId="167" fontId="187" fillId="2" borderId="34" xfId="1" applyNumberFormat="1" applyFont="1" applyFill="1" applyBorder="1" applyAlignment="1">
      <alignment horizontal="center"/>
    </xf>
    <xf numFmtId="167" fontId="191" fillId="2" borderId="22" xfId="1" applyNumberFormat="1" applyFont="1" applyFill="1" applyBorder="1" applyAlignment="1">
      <alignment horizontal="center"/>
    </xf>
    <xf numFmtId="167" fontId="191" fillId="2" borderId="27" xfId="1" applyNumberFormat="1" applyFont="1" applyFill="1" applyBorder="1" applyAlignment="1">
      <alignment horizontal="center"/>
    </xf>
    <xf numFmtId="0" fontId="191" fillId="4" borderId="0" xfId="4" applyFont="1" applyFill="1" applyAlignment="1" applyProtection="1">
      <alignment horizontal="center" wrapText="1"/>
      <protection locked="0"/>
    </xf>
    <xf numFmtId="167" fontId="187" fillId="2" borderId="33" xfId="3" applyNumberFormat="1" applyFont="1" applyFill="1" applyBorder="1" applyAlignment="1">
      <alignment horizontal="center"/>
    </xf>
    <xf numFmtId="167" fontId="187" fillId="2" borderId="34" xfId="3" applyNumberFormat="1" applyFont="1" applyFill="1" applyBorder="1" applyAlignment="1">
      <alignment horizontal="center"/>
    </xf>
    <xf numFmtId="167" fontId="191" fillId="2" borderId="22" xfId="3" applyNumberFormat="1" applyFont="1" applyFill="1" applyBorder="1" applyAlignment="1">
      <alignment horizontal="center"/>
    </xf>
    <xf numFmtId="167" fontId="191" fillId="2" borderId="27" xfId="3" applyNumberFormat="1" applyFont="1" applyFill="1" applyBorder="1" applyAlignment="1">
      <alignment horizontal="center"/>
    </xf>
    <xf numFmtId="0" fontId="34" fillId="0" borderId="0" xfId="0" applyFont="1" applyAlignment="1">
      <alignment horizontal="center"/>
    </xf>
    <xf numFmtId="0" fontId="21" fillId="2" borderId="0" xfId="0" applyFont="1" applyFill="1" applyAlignment="1">
      <alignment horizontal="center" vertical="center" wrapText="1"/>
    </xf>
    <xf numFmtId="0" fontId="54" fillId="2" borderId="27" xfId="0" applyFont="1" applyFill="1" applyBorder="1" applyAlignment="1">
      <alignment horizontal="center" vertical="center" wrapText="1"/>
    </xf>
    <xf numFmtId="0" fontId="3" fillId="13" borderId="47" xfId="0" applyFont="1" applyFill="1" applyBorder="1" applyAlignment="1">
      <alignment horizontal="center" vertical="center"/>
    </xf>
    <xf numFmtId="0" fontId="3" fillId="13" borderId="30" xfId="0" applyFont="1" applyFill="1" applyBorder="1" applyAlignment="1">
      <alignment horizontal="center" vertical="center"/>
    </xf>
    <xf numFmtId="0" fontId="3" fillId="13" borderId="13" xfId="0" applyFont="1" applyFill="1" applyBorder="1" applyAlignment="1">
      <alignment horizontal="center" vertical="center"/>
    </xf>
    <xf numFmtId="0" fontId="49" fillId="0" borderId="38" xfId="0" applyFont="1" applyBorder="1" applyAlignment="1">
      <alignment horizontal="center"/>
    </xf>
    <xf numFmtId="0" fontId="49" fillId="0" borderId="52" xfId="0" applyFont="1" applyBorder="1" applyAlignment="1">
      <alignment horizontal="center"/>
    </xf>
    <xf numFmtId="49" fontId="93" fillId="2" borderId="22" xfId="0" applyNumberFormat="1" applyFont="1" applyFill="1" applyBorder="1" applyAlignment="1">
      <alignment horizontal="center" vertical="center" wrapText="1"/>
    </xf>
    <xf numFmtId="49" fontId="93" fillId="2" borderId="0" xfId="0" applyNumberFormat="1" applyFont="1" applyFill="1" applyBorder="1" applyAlignment="1">
      <alignment horizontal="center" vertical="center" wrapText="1"/>
    </xf>
    <xf numFmtId="49" fontId="93" fillId="2" borderId="27" xfId="0" applyNumberFormat="1" applyFont="1" applyFill="1" applyBorder="1" applyAlignment="1">
      <alignment horizontal="center" vertical="center" wrapText="1"/>
    </xf>
    <xf numFmtId="0" fontId="3" fillId="2" borderId="0" xfId="0" applyFont="1" applyFill="1" applyBorder="1" applyAlignment="1">
      <alignment horizontal="left"/>
    </xf>
    <xf numFmtId="0" fontId="90" fillId="2" borderId="0" xfId="0" applyFont="1" applyFill="1" applyBorder="1" applyAlignment="1">
      <alignment horizontal="left"/>
    </xf>
    <xf numFmtId="0" fontId="84" fillId="0" borderId="0" xfId="0" applyFont="1" applyBorder="1" applyAlignment="1">
      <alignment horizontal="left"/>
    </xf>
    <xf numFmtId="0" fontId="10" fillId="2" borderId="0" xfId="0" applyFont="1" applyFill="1" applyAlignment="1">
      <alignment horizontal="center"/>
    </xf>
    <xf numFmtId="0" fontId="84" fillId="2" borderId="0" xfId="0" applyFont="1" applyFill="1" applyBorder="1" applyAlignment="1">
      <alignment horizontal="left"/>
    </xf>
    <xf numFmtId="0" fontId="34" fillId="0" borderId="14" xfId="0" applyFont="1" applyBorder="1" applyAlignment="1">
      <alignment horizontal="center"/>
    </xf>
    <xf numFmtId="0" fontId="34" fillId="0" borderId="29" xfId="0" applyFont="1" applyBorder="1" applyAlignment="1">
      <alignment horizontal="center"/>
    </xf>
    <xf numFmtId="0" fontId="33" fillId="9" borderId="14" xfId="0" applyFont="1" applyFill="1" applyBorder="1" applyAlignment="1">
      <alignment horizontal="center"/>
    </xf>
    <xf numFmtId="0" fontId="33" fillId="9" borderId="29" xfId="0" applyFont="1" applyFill="1" applyBorder="1" applyAlignment="1">
      <alignment horizontal="center"/>
    </xf>
    <xf numFmtId="0" fontId="34" fillId="8" borderId="14" xfId="0" applyFont="1" applyFill="1" applyBorder="1" applyAlignment="1">
      <alignment horizontal="center"/>
    </xf>
    <xf numFmtId="0" fontId="34" fillId="8" borderId="29" xfId="0" applyFont="1" applyFill="1" applyBorder="1" applyAlignment="1">
      <alignment horizontal="center"/>
    </xf>
    <xf numFmtId="0" fontId="33" fillId="10" borderId="14" xfId="0" applyFont="1" applyFill="1" applyBorder="1" applyAlignment="1">
      <alignment horizontal="center"/>
    </xf>
    <xf numFmtId="0" fontId="33" fillId="10" borderId="29" xfId="0" applyFont="1" applyFill="1" applyBorder="1" applyAlignment="1">
      <alignment horizontal="center"/>
    </xf>
    <xf numFmtId="0" fontId="82" fillId="0" borderId="0" xfId="0" applyFont="1" applyBorder="1" applyAlignment="1">
      <alignment horizontal="center"/>
    </xf>
    <xf numFmtId="0" fontId="33" fillId="0" borderId="0" xfId="0" applyFont="1" applyBorder="1" applyAlignment="1">
      <alignment horizontal="center"/>
    </xf>
    <xf numFmtId="0" fontId="33" fillId="0" borderId="14" xfId="0" applyFont="1" applyBorder="1" applyAlignment="1">
      <alignment horizontal="center"/>
    </xf>
    <xf numFmtId="0" fontId="33" fillId="0" borderId="29" xfId="0" applyFont="1" applyBorder="1" applyAlignment="1">
      <alignment horizontal="center"/>
    </xf>
    <xf numFmtId="0" fontId="33" fillId="0" borderId="8" xfId="0" applyFont="1" applyBorder="1" applyAlignment="1">
      <alignment horizontal="center"/>
    </xf>
    <xf numFmtId="0" fontId="33" fillId="0" borderId="1" xfId="0" applyFont="1" applyBorder="1" applyAlignment="1">
      <alignment horizontal="center"/>
    </xf>
    <xf numFmtId="167" fontId="0" fillId="0" borderId="1" xfId="1" applyNumberFormat="1" applyFont="1" applyBorder="1"/>
  </cellXfs>
  <cellStyles count="7">
    <cellStyle name="Comma" xfId="1" builtinId="3"/>
    <cellStyle name="Comma 2" xfId="3"/>
    <cellStyle name="Normal" xfId="0" builtinId="0"/>
    <cellStyle name="Normal 2" xfId="6"/>
    <cellStyle name="Normal 3" xfId="2"/>
    <cellStyle name="Normal_BUD964" xfId="5"/>
    <cellStyle name="Normal_BUDG96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1095375</xdr:colOff>
      <xdr:row>45</xdr:row>
      <xdr:rowOff>0</xdr:rowOff>
    </xdr:from>
    <xdr:to>
      <xdr:col>3</xdr:col>
      <xdr:colOff>590550</xdr:colOff>
      <xdr:row>45</xdr:row>
      <xdr:rowOff>0</xdr:rowOff>
    </xdr:to>
    <xdr:pic>
      <xdr:nvPicPr>
        <xdr:cNvPr id="178715"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16"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17"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18"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19"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0" name="Picture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1"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2"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3"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4" name="Picture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5"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6"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7"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8"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29"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0" name="Picture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1" name="Picture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2" name="Picture 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3" name="Picture 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4"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5"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6"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7"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8"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39" name="Picture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0"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1"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2"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3" name="Picture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4"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5"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6"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7"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8"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49" name="Picture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50" name="Picture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51" name="Picture 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1095375</xdr:colOff>
      <xdr:row>45</xdr:row>
      <xdr:rowOff>0</xdr:rowOff>
    </xdr:from>
    <xdr:to>
      <xdr:col>3</xdr:col>
      <xdr:colOff>590550</xdr:colOff>
      <xdr:row>45</xdr:row>
      <xdr:rowOff>0</xdr:rowOff>
    </xdr:to>
    <xdr:pic>
      <xdr:nvPicPr>
        <xdr:cNvPr id="178752" name="Picture 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5775" y="9001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1095375</xdr:colOff>
      <xdr:row>0</xdr:row>
      <xdr:rowOff>0</xdr:rowOff>
    </xdr:from>
    <xdr:to>
      <xdr:col>9</xdr:col>
      <xdr:colOff>1552575</xdr:colOff>
      <xdr:row>0</xdr:row>
      <xdr:rowOff>0</xdr:rowOff>
    </xdr:to>
    <xdr:pic>
      <xdr:nvPicPr>
        <xdr:cNvPr id="18689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0</xdr:row>
      <xdr:rowOff>0</xdr:rowOff>
    </xdr:from>
    <xdr:to>
      <xdr:col>9</xdr:col>
      <xdr:colOff>1552575</xdr:colOff>
      <xdr:row>0</xdr:row>
      <xdr:rowOff>0</xdr:rowOff>
    </xdr:to>
    <xdr:pic>
      <xdr:nvPicPr>
        <xdr:cNvPr id="186896"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0</xdr:row>
      <xdr:rowOff>0</xdr:rowOff>
    </xdr:from>
    <xdr:to>
      <xdr:col>9</xdr:col>
      <xdr:colOff>1552575</xdr:colOff>
      <xdr:row>0</xdr:row>
      <xdr:rowOff>0</xdr:rowOff>
    </xdr:to>
    <xdr:pic>
      <xdr:nvPicPr>
        <xdr:cNvPr id="18689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1038225</xdr:colOff>
      <xdr:row>0</xdr:row>
      <xdr:rowOff>9525</xdr:rowOff>
    </xdr:from>
    <xdr:to>
      <xdr:col>8</xdr:col>
      <xdr:colOff>1495425</xdr:colOff>
      <xdr:row>3</xdr:row>
      <xdr:rowOff>9525</xdr:rowOff>
    </xdr:to>
    <xdr:pic>
      <xdr:nvPicPr>
        <xdr:cNvPr id="186898" name="Picture 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952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899"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0"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1"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2"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3"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4" name="Picture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6"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7"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8" name="Picture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09"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10"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11"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0</xdr:row>
      <xdr:rowOff>0</xdr:rowOff>
    </xdr:from>
    <xdr:to>
      <xdr:col>9</xdr:col>
      <xdr:colOff>1552575</xdr:colOff>
      <xdr:row>0</xdr:row>
      <xdr:rowOff>0</xdr:rowOff>
    </xdr:to>
    <xdr:pic>
      <xdr:nvPicPr>
        <xdr:cNvPr id="186912" name="Picture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1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14"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15" name="Picture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16" name="Picture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17" name="Picture 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124</xdr:row>
      <xdr:rowOff>0</xdr:rowOff>
    </xdr:from>
    <xdr:to>
      <xdr:col>9</xdr:col>
      <xdr:colOff>1552575</xdr:colOff>
      <xdr:row>124</xdr:row>
      <xdr:rowOff>0</xdr:rowOff>
    </xdr:to>
    <xdr:pic>
      <xdr:nvPicPr>
        <xdr:cNvPr id="186918" name="Picture 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209169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128</xdr:row>
      <xdr:rowOff>0</xdr:rowOff>
    </xdr:from>
    <xdr:to>
      <xdr:col>9</xdr:col>
      <xdr:colOff>1552575</xdr:colOff>
      <xdr:row>131</xdr:row>
      <xdr:rowOff>0</xdr:rowOff>
    </xdr:to>
    <xdr:pic>
      <xdr:nvPicPr>
        <xdr:cNvPr id="186919" name="Picture 8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14725" y="21564600"/>
          <a:ext cx="457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0" name="Picture 8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1" name="Picture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2" name="Picture 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3" name="Picture 8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4" name="Picture 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5" name="Picture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6" name="Picture 8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7" name="Picture 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8" name="Picture 9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29"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0" name="Picture 9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1" name="Picture 9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2" name="Picture 9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3" name="Picture 9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4" name="Picture 9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5" name="Picture 9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6" name="Picture 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7" name="Picture 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251</xdr:row>
      <xdr:rowOff>0</xdr:rowOff>
    </xdr:from>
    <xdr:to>
      <xdr:col>9</xdr:col>
      <xdr:colOff>1552575</xdr:colOff>
      <xdr:row>251</xdr:row>
      <xdr:rowOff>0</xdr:rowOff>
    </xdr:to>
    <xdr:pic>
      <xdr:nvPicPr>
        <xdr:cNvPr id="186938"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42776775"/>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1381125</xdr:colOff>
      <xdr:row>252</xdr:row>
      <xdr:rowOff>9525</xdr:rowOff>
    </xdr:from>
    <xdr:to>
      <xdr:col>9</xdr:col>
      <xdr:colOff>1838325</xdr:colOff>
      <xdr:row>255</xdr:row>
      <xdr:rowOff>9525</xdr:rowOff>
    </xdr:to>
    <xdr:pic>
      <xdr:nvPicPr>
        <xdr:cNvPr id="186939" name="Picture 10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00475" y="42948225"/>
          <a:ext cx="457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0"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1"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2"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3"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4"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5" name="Picture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6"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7"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8"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49" name="Picture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0"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1"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2"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4"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5" name="Picture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6" name="Picture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7" name="Picture 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58" name="Picture 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1381125</xdr:colOff>
      <xdr:row>376</xdr:row>
      <xdr:rowOff>9525</xdr:rowOff>
    </xdr:from>
    <xdr:to>
      <xdr:col>9</xdr:col>
      <xdr:colOff>1838325</xdr:colOff>
      <xdr:row>379</xdr:row>
      <xdr:rowOff>9525</xdr:rowOff>
    </xdr:to>
    <xdr:pic>
      <xdr:nvPicPr>
        <xdr:cNvPr id="186959" name="Picture 3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00475" y="64322325"/>
          <a:ext cx="4572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0"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1"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2"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3"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4"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5" name="Picture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6"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7"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8"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69" name="Picture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0"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1"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2"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3"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4"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5" name="Picture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6" name="Picture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7" name="Picture 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1095375</xdr:colOff>
      <xdr:row>499</xdr:row>
      <xdr:rowOff>0</xdr:rowOff>
    </xdr:from>
    <xdr:to>
      <xdr:col>9</xdr:col>
      <xdr:colOff>1552575</xdr:colOff>
      <xdr:row>499</xdr:row>
      <xdr:rowOff>0</xdr:rowOff>
    </xdr:to>
    <xdr:pic>
      <xdr:nvPicPr>
        <xdr:cNvPr id="186978" name="Picture 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8618220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1000125</xdr:colOff>
      <xdr:row>0</xdr:row>
      <xdr:rowOff>19050</xdr:rowOff>
    </xdr:from>
    <xdr:to>
      <xdr:col>9</xdr:col>
      <xdr:colOff>1457325</xdr:colOff>
      <xdr:row>3</xdr:row>
      <xdr:rowOff>19050</xdr:rowOff>
    </xdr:to>
    <xdr:pic>
      <xdr:nvPicPr>
        <xdr:cNvPr id="186979" name="Picture 3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19475" y="19050"/>
          <a:ext cx="457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1038225</xdr:colOff>
      <xdr:row>503</xdr:row>
      <xdr:rowOff>9525</xdr:rowOff>
    </xdr:from>
    <xdr:to>
      <xdr:col>9</xdr:col>
      <xdr:colOff>1495425</xdr:colOff>
      <xdr:row>506</xdr:row>
      <xdr:rowOff>9525</xdr:rowOff>
    </xdr:to>
    <xdr:pic>
      <xdr:nvPicPr>
        <xdr:cNvPr id="186980" name="Picture 3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457575" y="86839425"/>
          <a:ext cx="4572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Plan%20Buxheti%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a/Downloads/11-%20Situacioni%20Dhjetor%20%202022%20SHSSH%20&amp;%20Institucione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mbledhese, leke"/>
      <sheetName val="Institucione"/>
      <sheetName val="Pagat 2020 Limite mujore"/>
      <sheetName val="601 2019 Limite mujore"/>
      <sheetName val="6009999"/>
      <sheetName val="602  2019 Shpenz op limit mujor"/>
      <sheetName val="606  2018 Shp per ind lim mujor"/>
      <sheetName val="Investimet 2019"/>
      <sheetName val="6061003 Nd Ek,  2019"/>
      <sheetName val="6061004 PAK, 2019"/>
      <sheetName val="bonusi i bebes  plani "/>
      <sheetName val="bonusi i bebes fakti  "/>
      <sheetName val="ndermarjet sociale fakt  "/>
      <sheetName val="fondi social fakt "/>
      <sheetName val="romet fakt "/>
      <sheetName val="Permbledhsja dhe Institucione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mbledhese, leke"/>
      <sheetName val="Institucione"/>
      <sheetName val="Permbledhsja dhe Institucionet "/>
      <sheetName val="Pagat 2022 Limite mujore"/>
      <sheetName val="601 2022 Limite mujore"/>
      <sheetName val="602  2022 Shpenz op limit mujor"/>
      <sheetName val="6009999"/>
      <sheetName val="606 f.social lim mujor"/>
      <sheetName val="NE 6061003  2022"/>
      <sheetName val="PAK 6061004  2022"/>
      <sheetName val="bonusi i bebes  plani "/>
      <sheetName val="bonusi i bebes fakti  "/>
      <sheetName val="fondi sociale fakt  "/>
      <sheetName val="ndermarrja social fakt "/>
      <sheetName val="Investimet 2022"/>
      <sheetName val="info rreth fondeve "/>
    </sheetNames>
    <sheetDataSet>
      <sheetData sheetId="0" refreshError="1"/>
      <sheetData sheetId="1" refreshError="1"/>
      <sheetData sheetId="2" refreshError="1"/>
      <sheetData sheetId="3" refreshError="1">
        <row r="5">
          <cell r="B5" t="str">
            <v xml:space="preserve">Shuma </v>
          </cell>
        </row>
        <row r="6">
          <cell r="B6" t="str">
            <v>Shtëp.Moshuarve Tiranë</v>
          </cell>
        </row>
        <row r="7">
          <cell r="B7" t="str">
            <v>Shtëp.Moshuarve Gjirokastër</v>
          </cell>
        </row>
        <row r="8">
          <cell r="B8" t="str">
            <v>Shtëp.Moshuarve Fier</v>
          </cell>
        </row>
        <row r="9">
          <cell r="B9" t="str">
            <v>Shtëp.Moshuarve Kavajë</v>
          </cell>
        </row>
        <row r="10">
          <cell r="B10" t="str">
            <v>Shtëp.Moshuarve Shkodër</v>
          </cell>
        </row>
        <row r="11">
          <cell r="B11" t="str">
            <v>Qendra Polivalente Poliçan</v>
          </cell>
        </row>
        <row r="12">
          <cell r="B12" t="str">
            <v xml:space="preserve">Qendra Komunitare  Palasë </v>
          </cell>
        </row>
        <row r="13">
          <cell r="B13" t="str">
            <v>Qendra Polivalente Sarandë</v>
          </cell>
        </row>
        <row r="14">
          <cell r="B14" t="str">
            <v>Qendra Ditore Kamëz</v>
          </cell>
        </row>
        <row r="15">
          <cell r="B15" t="str">
            <v>Shtëp. Foshnjës Tiranë</v>
          </cell>
        </row>
        <row r="16">
          <cell r="B16" t="str">
            <v>Shtëp. Foshnjës Korçë</v>
          </cell>
        </row>
        <row r="17">
          <cell r="B17" t="str">
            <v>Shtëp. Foshnjës Shkodër</v>
          </cell>
        </row>
        <row r="18">
          <cell r="B18" t="str">
            <v>Shtëp. Foshnjës Durrës</v>
          </cell>
        </row>
        <row r="19">
          <cell r="B19" t="str">
            <v>Shtëp. Foshnjës Vlorë</v>
          </cell>
        </row>
        <row r="20">
          <cell r="B20" t="str">
            <v>Qend. Zhvillimit Tiranë</v>
          </cell>
        </row>
        <row r="21">
          <cell r="B21" t="str">
            <v>Qend. Zhvillimit Durrës</v>
          </cell>
        </row>
        <row r="22">
          <cell r="B22" t="str">
            <v>Qend. Zhvillimit Korçë</v>
          </cell>
        </row>
        <row r="23">
          <cell r="B23" t="str">
            <v>Qend. Zhvillimit Shkodër</v>
          </cell>
        </row>
        <row r="24">
          <cell r="B24" t="str">
            <v>Qend. Zhvillimit Berat</v>
          </cell>
        </row>
        <row r="25">
          <cell r="B25" t="str">
            <v>Qend. Zhvillimit Vlorë</v>
          </cell>
        </row>
        <row r="26">
          <cell r="B26" t="str">
            <v>Qend. Zhvillim Ditor Lezhë</v>
          </cell>
        </row>
        <row r="27">
          <cell r="B27" t="str">
            <v>Qend. Zhvillim Ditor Korçë</v>
          </cell>
        </row>
        <row r="28">
          <cell r="B28" t="str">
            <v>Qen. Pritëse Viktim. Linzë</v>
          </cell>
        </row>
        <row r="29">
          <cell r="B29" t="str">
            <v>Qendra Kombëtare dhunës Familje</v>
          </cell>
        </row>
        <row r="32">
          <cell r="B32" t="str">
            <v>Shtëp.Fëm.Shkoll. Shkodër</v>
          </cell>
        </row>
        <row r="33">
          <cell r="B33" t="str">
            <v>Shtëp.Fëm.Shkoll. Tiranë</v>
          </cell>
        </row>
        <row r="36">
          <cell r="B36" t="str">
            <v>Admin. Qendrore SHSSH</v>
          </cell>
        </row>
        <row r="37">
          <cell r="B37" t="str">
            <v>Zyra Rajonale e Kujd. Social Berat</v>
          </cell>
        </row>
        <row r="38">
          <cell r="B38" t="str">
            <v>Zyra Rajonale e Kujd.Social Dibër</v>
          </cell>
        </row>
        <row r="39">
          <cell r="B39" t="str">
            <v>Zyra Rajonale e Kujd.Social Durrës</v>
          </cell>
        </row>
        <row r="40">
          <cell r="B40" t="str">
            <v>Zyra Rajon. Kujd.Social Elbasan</v>
          </cell>
        </row>
        <row r="41">
          <cell r="B41" t="str">
            <v>Zyra Rajon. Kujd.Social Fier</v>
          </cell>
        </row>
        <row r="42">
          <cell r="B42" t="str">
            <v>Zyra Rajon.Kujd.Soc. Gjirokastër</v>
          </cell>
        </row>
        <row r="43">
          <cell r="B43" t="str">
            <v>Zyra Rajonale Kujd.Social Korçë</v>
          </cell>
        </row>
        <row r="44">
          <cell r="B44" t="str">
            <v>Zyra Rajonale Kujd.Social Kukës</v>
          </cell>
        </row>
        <row r="45">
          <cell r="B45" t="str">
            <v>Zyra Rajonale Kujd.Social Lezhë</v>
          </cell>
        </row>
        <row r="46">
          <cell r="B46" t="str">
            <v>Zyra Rajon. Kujd.Social Shkodër</v>
          </cell>
        </row>
        <row r="47">
          <cell r="B47" t="str">
            <v>Zyra Rajonale Kujd.Social Vlorë</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1"/>
  <sheetViews>
    <sheetView workbookViewId="0">
      <selection activeCell="N396" sqref="N396"/>
    </sheetView>
  </sheetViews>
  <sheetFormatPr defaultRowHeight="12.75"/>
  <cols>
    <col min="1" max="1" width="4.28515625" customWidth="1"/>
    <col min="2" max="2" width="3.7109375" customWidth="1"/>
    <col min="3" max="3" width="2.85546875" customWidth="1"/>
    <col min="4" max="5" width="6.28515625" customWidth="1"/>
    <col min="6" max="6" width="29.5703125" customWidth="1"/>
    <col min="7" max="7" width="9.42578125" customWidth="1"/>
    <col min="8" max="8" width="10.5703125" customWidth="1"/>
    <col min="9" max="9" width="14" customWidth="1"/>
    <col min="10" max="10" width="11.140625" bestFit="1" customWidth="1"/>
    <col min="11" max="11" width="10.5703125" bestFit="1" customWidth="1"/>
    <col min="13" max="13" width="10.5703125" bestFit="1" customWidth="1"/>
    <col min="15" max="15" width="12.140625" bestFit="1" customWidth="1"/>
  </cols>
  <sheetData>
    <row r="1" spans="1:9">
      <c r="A1" s="9" t="s">
        <v>0</v>
      </c>
      <c r="B1" s="9"/>
      <c r="C1" s="9"/>
      <c r="D1" s="9"/>
      <c r="E1" s="9"/>
      <c r="F1" s="9"/>
      <c r="G1" s="9"/>
      <c r="H1" s="9"/>
      <c r="I1" s="9"/>
    </row>
    <row r="2" spans="1:9">
      <c r="A2" s="9" t="s">
        <v>1</v>
      </c>
      <c r="B2" s="9"/>
      <c r="C2" s="9"/>
      <c r="D2" s="9"/>
      <c r="E2" s="9"/>
      <c r="F2" s="9"/>
      <c r="G2" s="10"/>
      <c r="H2" s="10"/>
      <c r="I2" s="10"/>
    </row>
    <row r="3" spans="1:9">
      <c r="A3" s="9" t="s">
        <v>27</v>
      </c>
      <c r="B3" s="9"/>
      <c r="C3" s="9"/>
      <c r="D3" s="9"/>
      <c r="E3" s="9"/>
      <c r="F3" s="9"/>
      <c r="G3" s="9"/>
      <c r="H3" s="9"/>
      <c r="I3" s="9"/>
    </row>
    <row r="4" spans="1:9" ht="13.5">
      <c r="A4" s="11" t="s">
        <v>2</v>
      </c>
      <c r="B4" s="11"/>
      <c r="C4" s="11"/>
      <c r="D4" s="11"/>
      <c r="E4" s="11"/>
      <c r="F4" s="9"/>
      <c r="G4" s="10"/>
      <c r="H4" s="10"/>
      <c r="I4" s="10"/>
    </row>
    <row r="5" spans="1:9">
      <c r="A5" s="9"/>
      <c r="B5" s="9"/>
      <c r="C5" s="9"/>
      <c r="D5" s="9"/>
      <c r="E5" s="9"/>
      <c r="F5" s="9"/>
      <c r="G5" s="10"/>
      <c r="H5" s="10"/>
      <c r="I5" s="9"/>
    </row>
    <row r="6" spans="1:9" ht="18" customHeight="1">
      <c r="A6" s="46" t="s">
        <v>52</v>
      </c>
      <c r="B6" s="48"/>
      <c r="C6" s="13"/>
      <c r="D6" s="13"/>
      <c r="E6" s="13"/>
      <c r="F6" s="13"/>
      <c r="G6" s="13"/>
      <c r="H6" s="13"/>
      <c r="I6" s="9"/>
    </row>
    <row r="7" spans="1:9">
      <c r="A7" s="14"/>
      <c r="B7" s="14"/>
      <c r="C7" s="14"/>
      <c r="D7" s="14"/>
      <c r="E7" s="14"/>
      <c r="F7" s="14"/>
      <c r="G7" s="14"/>
      <c r="H7" s="14"/>
      <c r="I7" s="14"/>
    </row>
    <row r="8" spans="1:9" ht="15.75" customHeight="1">
      <c r="A8" s="15" t="s">
        <v>3</v>
      </c>
      <c r="B8" s="16" t="s">
        <v>4</v>
      </c>
      <c r="C8" s="17" t="s">
        <v>5</v>
      </c>
      <c r="D8" s="18" t="s">
        <v>6</v>
      </c>
      <c r="E8" s="18" t="s">
        <v>7</v>
      </c>
      <c r="F8" s="15" t="s">
        <v>8</v>
      </c>
      <c r="G8" s="19" t="s">
        <v>25</v>
      </c>
      <c r="H8" s="19" t="s">
        <v>25</v>
      </c>
      <c r="I8" s="20" t="s">
        <v>48</v>
      </c>
    </row>
    <row r="9" spans="1:9" ht="11.25" customHeight="1">
      <c r="A9" s="21"/>
      <c r="B9" s="22"/>
      <c r="C9" s="23"/>
      <c r="D9" s="24"/>
      <c r="E9" s="25"/>
      <c r="F9" s="21"/>
      <c r="G9" s="26" t="s">
        <v>49</v>
      </c>
      <c r="H9" s="26" t="s">
        <v>53</v>
      </c>
      <c r="I9" s="27" t="s">
        <v>47</v>
      </c>
    </row>
    <row r="10" spans="1:9" ht="18" customHeight="1">
      <c r="A10" s="28"/>
      <c r="B10" s="29"/>
      <c r="C10" s="29"/>
      <c r="D10" s="29"/>
      <c r="E10" s="30" t="s">
        <v>9</v>
      </c>
      <c r="F10" s="31" t="s">
        <v>10</v>
      </c>
      <c r="G10" s="29" t="s">
        <v>11</v>
      </c>
      <c r="H10" s="29"/>
      <c r="I10" s="32"/>
    </row>
    <row r="11" spans="1:9" ht="18" customHeight="1">
      <c r="A11" s="28"/>
      <c r="B11" s="29"/>
      <c r="C11" s="29"/>
      <c r="D11" s="29"/>
      <c r="E11" s="29">
        <v>1</v>
      </c>
      <c r="F11" s="33" t="s">
        <v>12</v>
      </c>
      <c r="G11" s="29"/>
      <c r="H11" s="29"/>
      <c r="I11" s="33"/>
    </row>
    <row r="12" spans="1:9" ht="18.75" customHeight="1">
      <c r="A12" s="28"/>
      <c r="B12" s="29"/>
      <c r="C12" s="29"/>
      <c r="D12" s="29"/>
      <c r="E12" s="29">
        <v>2</v>
      </c>
      <c r="F12" s="33" t="s">
        <v>13</v>
      </c>
      <c r="G12" s="29"/>
      <c r="H12" s="29"/>
      <c r="I12" s="33"/>
    </row>
    <row r="13" spans="1:9" ht="18.75" customHeight="1">
      <c r="A13" s="28"/>
      <c r="B13" s="29"/>
      <c r="C13" s="29"/>
      <c r="D13" s="29"/>
      <c r="E13" s="29">
        <v>3</v>
      </c>
      <c r="F13" s="33" t="s">
        <v>14</v>
      </c>
      <c r="G13" s="29"/>
      <c r="H13" s="29"/>
      <c r="I13" s="33"/>
    </row>
    <row r="14" spans="1:9" ht="18" customHeight="1">
      <c r="A14" s="28"/>
      <c r="B14" s="29"/>
      <c r="C14" s="29"/>
      <c r="D14" s="29"/>
      <c r="E14" s="29">
        <v>4</v>
      </c>
      <c r="F14" s="33" t="s">
        <v>15</v>
      </c>
      <c r="G14" s="28"/>
      <c r="H14" s="28"/>
      <c r="I14" s="33"/>
    </row>
    <row r="15" spans="1:9" ht="18" customHeight="1">
      <c r="A15" s="28"/>
      <c r="B15" s="29"/>
      <c r="C15" s="29"/>
      <c r="D15" s="29"/>
      <c r="E15" s="30" t="s">
        <v>16</v>
      </c>
      <c r="F15" s="31" t="s">
        <v>17</v>
      </c>
      <c r="G15" s="34">
        <f>G17 +G36</f>
        <v>85141</v>
      </c>
      <c r="H15" s="34">
        <f>H17 +H36</f>
        <v>14190</v>
      </c>
      <c r="I15" s="34">
        <f>I17 +I36</f>
        <v>7697015</v>
      </c>
    </row>
    <row r="16" spans="1:9" ht="17.25" customHeight="1">
      <c r="A16" s="35">
        <v>25</v>
      </c>
      <c r="B16" s="36" t="s">
        <v>26</v>
      </c>
      <c r="C16" s="29"/>
      <c r="D16" s="29"/>
      <c r="E16" s="29"/>
      <c r="F16" s="33" t="s">
        <v>18</v>
      </c>
      <c r="G16" s="32"/>
      <c r="H16" s="32"/>
      <c r="I16" s="29"/>
    </row>
    <row r="17" spans="1:9" ht="17.25" customHeight="1">
      <c r="A17" s="28"/>
      <c r="B17" s="29"/>
      <c r="C17" s="29">
        <v>1</v>
      </c>
      <c r="D17" s="29"/>
      <c r="E17" s="29"/>
      <c r="F17" s="37" t="s">
        <v>19</v>
      </c>
      <c r="G17" s="38">
        <f>SUM(G18 +G24+G35  )</f>
        <v>85141</v>
      </c>
      <c r="H17" s="38">
        <f>SUM(H18 +H24+H35  )</f>
        <v>14190</v>
      </c>
      <c r="I17" s="38">
        <f>SUM(I18 +I24+I35  )</f>
        <v>7697015</v>
      </c>
    </row>
    <row r="18" spans="1:9" ht="18" customHeight="1">
      <c r="A18" s="28"/>
      <c r="B18" s="29"/>
      <c r="C18" s="29"/>
      <c r="D18" s="29">
        <v>600.1</v>
      </c>
      <c r="E18" s="29"/>
      <c r="F18" s="37" t="s">
        <v>41</v>
      </c>
      <c r="G18" s="38">
        <f>SUM(G19 +G22  )</f>
        <v>65061</v>
      </c>
      <c r="H18" s="38">
        <f>SUM(H19 +H22  )</f>
        <v>10843</v>
      </c>
      <c r="I18" s="38">
        <f>SUM(I19 +I22  )</f>
        <v>6919507</v>
      </c>
    </row>
    <row r="19" spans="1:9" ht="18" customHeight="1">
      <c r="A19" s="28"/>
      <c r="B19" s="29"/>
      <c r="C19" s="29"/>
      <c r="D19" s="29"/>
      <c r="E19" s="39">
        <v>600</v>
      </c>
      <c r="F19" s="31" t="s">
        <v>20</v>
      </c>
      <c r="G19" s="38">
        <f>SUM(G20:G21)</f>
        <v>56049</v>
      </c>
      <c r="H19" s="38">
        <v>9341</v>
      </c>
      <c r="I19" s="49">
        <f>SUM(I20:I21)</f>
        <v>5646496</v>
      </c>
    </row>
    <row r="20" spans="1:9" ht="18" customHeight="1">
      <c r="A20" s="28"/>
      <c r="B20" s="29"/>
      <c r="C20" s="29"/>
      <c r="D20" s="29"/>
      <c r="E20" s="39"/>
      <c r="F20" s="33" t="s">
        <v>20</v>
      </c>
      <c r="G20" s="38">
        <v>53380</v>
      </c>
      <c r="H20" s="38"/>
      <c r="I20" s="40">
        <v>5646496</v>
      </c>
    </row>
    <row r="21" spans="1:9" ht="20.25" customHeight="1">
      <c r="A21" s="28"/>
      <c r="B21" s="29"/>
      <c r="C21" s="29"/>
      <c r="D21" s="29"/>
      <c r="E21" s="39"/>
      <c r="F21" s="33" t="s">
        <v>21</v>
      </c>
      <c r="G21" s="38">
        <v>2669</v>
      </c>
      <c r="H21" s="38"/>
      <c r="I21" s="40">
        <v>0</v>
      </c>
    </row>
    <row r="22" spans="1:9" ht="19.5" customHeight="1">
      <c r="A22" s="28"/>
      <c r="B22" s="29"/>
      <c r="C22" s="29"/>
      <c r="D22" s="29">
        <v>601</v>
      </c>
      <c r="E22" s="29"/>
      <c r="F22" s="31" t="s">
        <v>22</v>
      </c>
      <c r="G22" s="38">
        <v>9012</v>
      </c>
      <c r="H22" s="38">
        <v>1502</v>
      </c>
      <c r="I22" s="47">
        <v>1273011</v>
      </c>
    </row>
    <row r="23" spans="1:9" ht="19.5" customHeight="1">
      <c r="A23" s="28"/>
      <c r="B23" s="29"/>
      <c r="C23" s="29"/>
      <c r="D23" s="29"/>
      <c r="E23" s="29"/>
      <c r="F23" s="31"/>
      <c r="G23" s="38"/>
      <c r="H23" s="38"/>
      <c r="I23" s="41"/>
    </row>
    <row r="24" spans="1:9" ht="18.75" customHeight="1">
      <c r="A24" s="28"/>
      <c r="B24" s="29"/>
      <c r="C24" s="29"/>
      <c r="D24" s="29">
        <v>602</v>
      </c>
      <c r="E24" s="29"/>
      <c r="F24" s="42" t="s">
        <v>29</v>
      </c>
      <c r="G24" s="34">
        <v>20080</v>
      </c>
      <c r="H24" s="34">
        <v>3347</v>
      </c>
      <c r="I24" s="34">
        <f>SUM(I25:I32)</f>
        <v>777508</v>
      </c>
    </row>
    <row r="25" spans="1:9" ht="17.25" customHeight="1">
      <c r="A25" s="28"/>
      <c r="B25" s="29"/>
      <c r="C25" s="29"/>
      <c r="D25" s="29"/>
      <c r="E25" s="43">
        <v>602</v>
      </c>
      <c r="F25" s="33" t="s">
        <v>31</v>
      </c>
      <c r="G25" s="38"/>
      <c r="H25" s="38"/>
      <c r="I25" s="40">
        <v>35727</v>
      </c>
    </row>
    <row r="26" spans="1:9" ht="17.25" customHeight="1">
      <c r="A26" s="28"/>
      <c r="B26" s="29"/>
      <c r="C26" s="29"/>
      <c r="D26" s="29"/>
      <c r="E26" s="43">
        <v>602.20000000000005</v>
      </c>
      <c r="F26" s="33" t="s">
        <v>32</v>
      </c>
      <c r="G26" s="38"/>
      <c r="H26" s="38"/>
      <c r="I26" s="40">
        <f>--+K54</f>
        <v>0</v>
      </c>
    </row>
    <row r="27" spans="1:9" ht="17.25" customHeight="1">
      <c r="A27" s="28"/>
      <c r="B27" s="29"/>
      <c r="C27" s="29"/>
      <c r="D27" s="29"/>
      <c r="E27" s="43" t="s">
        <v>33</v>
      </c>
      <c r="F27" s="33" t="s">
        <v>34</v>
      </c>
      <c r="G27" s="38"/>
      <c r="H27" s="38"/>
      <c r="I27" s="40">
        <v>17920</v>
      </c>
    </row>
    <row r="28" spans="1:9" ht="17.25" customHeight="1">
      <c r="A28" s="28"/>
      <c r="B28" s="29"/>
      <c r="C28" s="29"/>
      <c r="D28" s="29"/>
      <c r="E28" s="43">
        <v>602.4</v>
      </c>
      <c r="F28" s="33" t="s">
        <v>35</v>
      </c>
      <c r="G28" s="38"/>
      <c r="H28" s="38"/>
      <c r="I28" s="40">
        <v>303535</v>
      </c>
    </row>
    <row r="29" spans="1:9" ht="17.25" customHeight="1">
      <c r="A29" s="28"/>
      <c r="B29" s="29"/>
      <c r="C29" s="29"/>
      <c r="D29" s="29"/>
      <c r="E29" s="43">
        <v>602.5</v>
      </c>
      <c r="F29" s="33" t="s">
        <v>36</v>
      </c>
      <c r="G29" s="38"/>
      <c r="H29" s="38"/>
      <c r="I29" s="40">
        <v>0</v>
      </c>
    </row>
    <row r="30" spans="1:9" ht="17.25" customHeight="1">
      <c r="A30" s="28"/>
      <c r="B30" s="29"/>
      <c r="C30" s="29"/>
      <c r="D30" s="29"/>
      <c r="E30" s="43">
        <v>602.6</v>
      </c>
      <c r="F30" s="33" t="s">
        <v>37</v>
      </c>
      <c r="G30" s="38"/>
      <c r="H30" s="38"/>
      <c r="I30" s="40">
        <v>0</v>
      </c>
    </row>
    <row r="31" spans="1:9" ht="17.25" customHeight="1">
      <c r="A31" s="28"/>
      <c r="B31" s="29"/>
      <c r="C31" s="29"/>
      <c r="D31" s="29"/>
      <c r="E31" s="43">
        <v>602.70000000000005</v>
      </c>
      <c r="F31" s="33" t="s">
        <v>38</v>
      </c>
      <c r="G31" s="38"/>
      <c r="H31" s="38"/>
      <c r="I31" s="40">
        <v>0</v>
      </c>
    </row>
    <row r="32" spans="1:9" ht="17.25" customHeight="1">
      <c r="A32" s="28"/>
      <c r="B32" s="29"/>
      <c r="C32" s="29"/>
      <c r="D32" s="29"/>
      <c r="E32" s="43">
        <v>602.9</v>
      </c>
      <c r="F32" s="33" t="s">
        <v>39</v>
      </c>
      <c r="G32" s="38"/>
      <c r="H32" s="38"/>
      <c r="I32" s="40">
        <v>420326</v>
      </c>
    </row>
    <row r="33" spans="1:9" ht="17.25" customHeight="1">
      <c r="A33" s="28"/>
      <c r="B33" s="29"/>
      <c r="C33" s="29"/>
      <c r="D33" s="29"/>
      <c r="E33" s="43"/>
      <c r="F33" s="33" t="s">
        <v>50</v>
      </c>
      <c r="G33" s="38"/>
      <c r="H33" s="38"/>
      <c r="I33" s="40">
        <v>265326</v>
      </c>
    </row>
    <row r="34" spans="1:9" ht="17.25" customHeight="1">
      <c r="A34" s="28"/>
      <c r="B34" s="29"/>
      <c r="C34" s="29"/>
      <c r="D34" s="29"/>
      <c r="E34" s="43"/>
      <c r="F34" s="33" t="s">
        <v>40</v>
      </c>
      <c r="G34" s="38"/>
      <c r="H34" s="38"/>
      <c r="I34" s="40">
        <v>150000</v>
      </c>
    </row>
    <row r="35" spans="1:9" ht="17.25" customHeight="1">
      <c r="A35" s="28"/>
      <c r="B35" s="29"/>
      <c r="C35" s="29"/>
      <c r="D35" s="30">
        <v>604</v>
      </c>
      <c r="E35" s="44"/>
      <c r="F35" s="37" t="s">
        <v>42</v>
      </c>
      <c r="G35" s="38"/>
      <c r="H35" s="38"/>
      <c r="I35" s="38"/>
    </row>
    <row r="36" spans="1:9" ht="17.25" customHeight="1">
      <c r="A36" s="28"/>
      <c r="B36" s="29">
        <v>15</v>
      </c>
      <c r="C36" s="29"/>
      <c r="D36" s="29">
        <v>231</v>
      </c>
      <c r="E36" s="30" t="s">
        <v>23</v>
      </c>
      <c r="F36" s="37" t="s">
        <v>24</v>
      </c>
      <c r="G36" s="34">
        <f>SUM(G37 )</f>
        <v>0</v>
      </c>
      <c r="H36" s="34">
        <f>SUM(H37)</f>
        <v>0</v>
      </c>
      <c r="I36" s="34">
        <f>SUM(I37 )</f>
        <v>0</v>
      </c>
    </row>
    <row r="37" spans="1:9" ht="17.25" customHeight="1">
      <c r="A37" s="28"/>
      <c r="B37" s="29"/>
      <c r="C37" s="29"/>
      <c r="D37" s="29">
        <v>231</v>
      </c>
      <c r="E37" s="29"/>
      <c r="F37" s="33"/>
      <c r="G37" s="45"/>
      <c r="H37" s="45"/>
      <c r="I37" s="40">
        <v>0</v>
      </c>
    </row>
    <row r="38" spans="1:9" ht="16.5" customHeight="1">
      <c r="A38" s="12"/>
      <c r="B38" s="12"/>
      <c r="C38" s="12"/>
      <c r="D38" s="13"/>
      <c r="E38" s="13"/>
      <c r="F38" s="13"/>
      <c r="G38" s="13"/>
      <c r="H38" s="13"/>
      <c r="I38" s="13"/>
    </row>
    <row r="39" spans="1:9" ht="21.75" customHeight="1">
      <c r="A39" s="46" t="s">
        <v>45</v>
      </c>
      <c r="B39" s="13"/>
      <c r="C39" s="13"/>
      <c r="D39" s="13"/>
      <c r="E39" s="13"/>
      <c r="F39" s="46" t="s">
        <v>43</v>
      </c>
      <c r="G39" s="13"/>
      <c r="H39" s="13"/>
      <c r="I39" s="12"/>
    </row>
    <row r="40" spans="1:9" ht="19.5" customHeight="1">
      <c r="A40" s="9" t="s">
        <v>30</v>
      </c>
      <c r="B40" s="9" t="s">
        <v>28</v>
      </c>
      <c r="C40" s="10"/>
      <c r="D40" s="12"/>
      <c r="E40" s="12"/>
      <c r="F40" s="46" t="s">
        <v>44</v>
      </c>
      <c r="G40" s="13"/>
      <c r="H40" s="13"/>
      <c r="I40" s="12"/>
    </row>
    <row r="41" spans="1:9">
      <c r="A41" s="12"/>
      <c r="B41" s="12"/>
      <c r="C41" s="12"/>
      <c r="D41" s="12"/>
      <c r="E41" s="12"/>
      <c r="F41" s="12"/>
      <c r="G41" s="12"/>
      <c r="H41" s="12"/>
      <c r="I41" s="12"/>
    </row>
    <row r="42" spans="1:9">
      <c r="A42" s="4"/>
    </row>
    <row r="43" spans="1:9" ht="10.5" customHeight="1"/>
    <row r="44" spans="1:9" ht="17.25" customHeight="1">
      <c r="A44" s="9" t="s">
        <v>0</v>
      </c>
      <c r="B44" s="9"/>
      <c r="C44" s="9"/>
      <c r="D44" s="9"/>
      <c r="E44" s="9"/>
      <c r="F44" s="9"/>
      <c r="G44" s="9"/>
      <c r="H44" s="9"/>
      <c r="I44" s="9"/>
    </row>
    <row r="45" spans="1:9" ht="13.5" customHeight="1">
      <c r="A45" s="9" t="s">
        <v>1</v>
      </c>
      <c r="B45" s="9"/>
      <c r="C45" s="9"/>
      <c r="D45" s="9"/>
      <c r="E45" s="9"/>
      <c r="F45" s="9"/>
      <c r="G45" s="10"/>
      <c r="H45" s="10"/>
      <c r="I45" s="10"/>
    </row>
    <row r="46" spans="1:9" ht="14.25" customHeight="1">
      <c r="A46" s="9" t="s">
        <v>27</v>
      </c>
      <c r="B46" s="9"/>
      <c r="C46" s="9"/>
      <c r="D46" s="9"/>
      <c r="E46" s="9"/>
      <c r="F46" s="9"/>
      <c r="G46" s="9"/>
      <c r="H46" s="9"/>
      <c r="I46" s="9"/>
    </row>
    <row r="47" spans="1:9" ht="13.5">
      <c r="A47" s="11" t="s">
        <v>2</v>
      </c>
      <c r="B47" s="11"/>
      <c r="C47" s="11"/>
      <c r="D47" s="11"/>
      <c r="E47" s="11"/>
      <c r="F47" s="9"/>
      <c r="G47" s="10"/>
      <c r="H47" s="10"/>
      <c r="I47" s="10"/>
    </row>
    <row r="48" spans="1:9" ht="12.75" customHeight="1">
      <c r="A48" s="9"/>
      <c r="B48" s="9"/>
      <c r="C48" s="9"/>
      <c r="D48" s="9"/>
      <c r="E48" s="9"/>
      <c r="F48" s="9"/>
      <c r="G48" s="10"/>
      <c r="H48" s="10"/>
      <c r="I48" s="9"/>
    </row>
    <row r="49" spans="1:9" ht="15.75" customHeight="1">
      <c r="A49" s="52" t="s">
        <v>51</v>
      </c>
      <c r="B49" s="50"/>
      <c r="C49" s="51"/>
      <c r="D49" s="51"/>
      <c r="E49" s="51"/>
      <c r="F49" s="51"/>
      <c r="G49" s="51"/>
      <c r="H49" s="51"/>
      <c r="I49" s="11"/>
    </row>
    <row r="50" spans="1:9" ht="19.5" customHeight="1">
      <c r="A50" s="14"/>
      <c r="B50" s="14"/>
      <c r="C50" s="14"/>
      <c r="D50" s="14"/>
      <c r="E50" s="14"/>
      <c r="F50" s="14"/>
      <c r="G50" s="14"/>
      <c r="H50" s="14"/>
      <c r="I50" s="14"/>
    </row>
    <row r="51" spans="1:9" ht="19.5" customHeight="1">
      <c r="A51" s="15" t="s">
        <v>3</v>
      </c>
      <c r="B51" s="16" t="s">
        <v>4</v>
      </c>
      <c r="C51" s="17" t="s">
        <v>5</v>
      </c>
      <c r="D51" s="18" t="s">
        <v>6</v>
      </c>
      <c r="E51" s="18" t="s">
        <v>7</v>
      </c>
      <c r="F51" s="15" t="s">
        <v>8</v>
      </c>
      <c r="G51" s="19" t="s">
        <v>25</v>
      </c>
      <c r="H51" s="19" t="s">
        <v>25</v>
      </c>
      <c r="I51" s="20" t="s">
        <v>48</v>
      </c>
    </row>
    <row r="52" spans="1:9" ht="19.5" customHeight="1">
      <c r="A52" s="21"/>
      <c r="B52" s="22"/>
      <c r="C52" s="23"/>
      <c r="D52" s="24"/>
      <c r="E52" s="25"/>
      <c r="F52" s="21"/>
      <c r="G52" s="26" t="s">
        <v>49</v>
      </c>
      <c r="H52" s="26" t="s">
        <v>54</v>
      </c>
      <c r="I52" s="27" t="s">
        <v>47</v>
      </c>
    </row>
    <row r="53" spans="1:9" ht="19.5" customHeight="1">
      <c r="A53" s="28"/>
      <c r="B53" s="29"/>
      <c r="C53" s="29"/>
      <c r="D53" s="29"/>
      <c r="E53" s="30" t="s">
        <v>9</v>
      </c>
      <c r="F53" s="31" t="s">
        <v>10</v>
      </c>
      <c r="G53" s="29" t="s">
        <v>11</v>
      </c>
      <c r="H53" s="29"/>
      <c r="I53" s="32"/>
    </row>
    <row r="54" spans="1:9" ht="19.5" customHeight="1">
      <c r="A54" s="28"/>
      <c r="B54" s="29"/>
      <c r="C54" s="29"/>
      <c r="D54" s="29"/>
      <c r="E54" s="29">
        <v>1</v>
      </c>
      <c r="F54" s="33" t="s">
        <v>12</v>
      </c>
      <c r="G54" s="29"/>
      <c r="H54" s="29"/>
      <c r="I54" s="33"/>
    </row>
    <row r="55" spans="1:9" ht="19.5" customHeight="1">
      <c r="A55" s="28"/>
      <c r="B55" s="29"/>
      <c r="C55" s="29"/>
      <c r="D55" s="29"/>
      <c r="E55" s="29">
        <v>2</v>
      </c>
      <c r="F55" s="33" t="s">
        <v>13</v>
      </c>
      <c r="G55" s="29"/>
      <c r="H55" s="29"/>
      <c r="I55" s="33"/>
    </row>
    <row r="56" spans="1:9" ht="19.5" customHeight="1">
      <c r="A56" s="28"/>
      <c r="B56" s="29"/>
      <c r="C56" s="29"/>
      <c r="D56" s="29"/>
      <c r="E56" s="29">
        <v>3</v>
      </c>
      <c r="F56" s="33" t="s">
        <v>14</v>
      </c>
      <c r="G56" s="29"/>
      <c r="H56" s="29"/>
      <c r="I56" s="33"/>
    </row>
    <row r="57" spans="1:9" ht="19.5" customHeight="1">
      <c r="A57" s="28"/>
      <c r="B57" s="29"/>
      <c r="C57" s="29"/>
      <c r="D57" s="29"/>
      <c r="E57" s="29">
        <v>4</v>
      </c>
      <c r="F57" s="33" t="s">
        <v>15</v>
      </c>
      <c r="G57" s="28"/>
      <c r="H57" s="28"/>
      <c r="I57" s="33"/>
    </row>
    <row r="58" spans="1:9" ht="19.5" customHeight="1">
      <c r="A58" s="28"/>
      <c r="B58" s="29"/>
      <c r="C58" s="29"/>
      <c r="D58" s="29"/>
      <c r="E58" s="30" t="s">
        <v>16</v>
      </c>
      <c r="F58" s="31" t="s">
        <v>17</v>
      </c>
      <c r="G58" s="34">
        <f>G60 +G79</f>
        <v>85141</v>
      </c>
      <c r="H58" s="34">
        <f>H60 +H79</f>
        <v>21285</v>
      </c>
      <c r="I58" s="34">
        <f>I60 +I79</f>
        <v>12516107</v>
      </c>
    </row>
    <row r="59" spans="1:9" ht="19.5" customHeight="1">
      <c r="A59" s="35">
        <v>25</v>
      </c>
      <c r="B59" s="36" t="s">
        <v>26</v>
      </c>
      <c r="C59" s="29"/>
      <c r="D59" s="29"/>
      <c r="E59" s="29"/>
      <c r="F59" s="33" t="s">
        <v>18</v>
      </c>
      <c r="G59" s="32"/>
      <c r="H59" s="32"/>
      <c r="I59" s="29"/>
    </row>
    <row r="60" spans="1:9" ht="19.5" customHeight="1">
      <c r="A60" s="28"/>
      <c r="B60" s="29"/>
      <c r="C60" s="29">
        <v>1</v>
      </c>
      <c r="D60" s="29"/>
      <c r="E60" s="29"/>
      <c r="F60" s="37" t="s">
        <v>19</v>
      </c>
      <c r="G60" s="38">
        <f>SUM(G61 +G67+G78  )</f>
        <v>85141</v>
      </c>
      <c r="H60" s="38">
        <f>SUM(H61 +H67+H78  )</f>
        <v>21285</v>
      </c>
      <c r="I60" s="38">
        <f>SUM(I61 +I67+I78  )</f>
        <v>12516107</v>
      </c>
    </row>
    <row r="61" spans="1:9" ht="19.5" customHeight="1">
      <c r="A61" s="28"/>
      <c r="B61" s="29"/>
      <c r="C61" s="29"/>
      <c r="D61" s="29">
        <v>600.1</v>
      </c>
      <c r="E61" s="29"/>
      <c r="F61" s="37" t="s">
        <v>41</v>
      </c>
      <c r="G61" s="38">
        <f>SUM(G62 +G65  )</f>
        <v>65061</v>
      </c>
      <c r="H61" s="38">
        <f>SUM(H62 +H65  )</f>
        <v>16265</v>
      </c>
      <c r="I61" s="38">
        <f>SUM(I62 +I65  )</f>
        <v>10258541</v>
      </c>
    </row>
    <row r="62" spans="1:9" ht="19.5" customHeight="1">
      <c r="A62" s="28"/>
      <c r="B62" s="29"/>
      <c r="C62" s="29"/>
      <c r="D62" s="29"/>
      <c r="E62" s="39">
        <v>600</v>
      </c>
      <c r="F62" s="31" t="s">
        <v>20</v>
      </c>
      <c r="G62" s="38">
        <f>SUM(G63:G64)</f>
        <v>56049</v>
      </c>
      <c r="H62" s="38">
        <v>14012</v>
      </c>
      <c r="I62" s="49">
        <f>SUM(I63:I64)</f>
        <v>8418000</v>
      </c>
    </row>
    <row r="63" spans="1:9" ht="19.5" customHeight="1">
      <c r="A63" s="28"/>
      <c r="B63" s="29"/>
      <c r="C63" s="29"/>
      <c r="D63" s="29"/>
      <c r="E63" s="39"/>
      <c r="F63" s="33" t="s">
        <v>20</v>
      </c>
      <c r="G63" s="38">
        <v>53380</v>
      </c>
      <c r="H63" s="38"/>
      <c r="I63" s="40">
        <v>8418000</v>
      </c>
    </row>
    <row r="64" spans="1:9" ht="19.5" customHeight="1">
      <c r="A64" s="28"/>
      <c r="B64" s="29"/>
      <c r="C64" s="29"/>
      <c r="D64" s="29"/>
      <c r="E64" s="39"/>
      <c r="F64" s="33" t="s">
        <v>21</v>
      </c>
      <c r="G64" s="38">
        <v>2669</v>
      </c>
      <c r="H64" s="38"/>
      <c r="I64" s="40">
        <v>0</v>
      </c>
    </row>
    <row r="65" spans="1:9" ht="19.5" customHeight="1">
      <c r="A65" s="28"/>
      <c r="B65" s="29"/>
      <c r="C65" s="29"/>
      <c r="D65" s="29">
        <v>601</v>
      </c>
      <c r="E65" s="29"/>
      <c r="F65" s="31" t="s">
        <v>22</v>
      </c>
      <c r="G65" s="38">
        <v>9012</v>
      </c>
      <c r="H65" s="38">
        <v>2253</v>
      </c>
      <c r="I65" s="47">
        <v>1840541</v>
      </c>
    </row>
    <row r="66" spans="1:9" ht="19.5" customHeight="1">
      <c r="A66" s="28"/>
      <c r="B66" s="29"/>
      <c r="C66" s="29"/>
      <c r="D66" s="29"/>
      <c r="E66" s="29"/>
      <c r="F66" s="31"/>
      <c r="G66" s="38"/>
      <c r="H66" s="38"/>
      <c r="I66" s="41"/>
    </row>
    <row r="67" spans="1:9" ht="19.5" customHeight="1">
      <c r="A67" s="28"/>
      <c r="B67" s="29"/>
      <c r="C67" s="29"/>
      <c r="D67" s="29">
        <v>602</v>
      </c>
      <c r="E67" s="29"/>
      <c r="F67" s="42" t="s">
        <v>29</v>
      </c>
      <c r="G67" s="34">
        <v>20080</v>
      </c>
      <c r="H67" s="34">
        <v>5020</v>
      </c>
      <c r="I67" s="34">
        <f>SUM(I68:I75)</f>
        <v>2257566</v>
      </c>
    </row>
    <row r="68" spans="1:9" ht="19.5" customHeight="1">
      <c r="A68" s="28"/>
      <c r="B68" s="29"/>
      <c r="C68" s="29"/>
      <c r="D68" s="29"/>
      <c r="E68" s="43">
        <v>602</v>
      </c>
      <c r="F68" s="33" t="s">
        <v>31</v>
      </c>
      <c r="G68" s="38"/>
      <c r="H68" s="38"/>
      <c r="I68" s="40">
        <v>146427</v>
      </c>
    </row>
    <row r="69" spans="1:9" ht="15" customHeight="1">
      <c r="A69" s="28"/>
      <c r="B69" s="29"/>
      <c r="C69" s="29"/>
      <c r="D69" s="29"/>
      <c r="E69" s="43">
        <v>602.20000000000005</v>
      </c>
      <c r="F69" s="33" t="s">
        <v>32</v>
      </c>
      <c r="G69" s="38"/>
      <c r="H69" s="38"/>
      <c r="I69" s="40">
        <v>770508</v>
      </c>
    </row>
    <row r="70" spans="1:9" ht="17.25" customHeight="1">
      <c r="A70" s="28"/>
      <c r="B70" s="29"/>
      <c r="C70" s="29"/>
      <c r="D70" s="29"/>
      <c r="E70" s="43" t="s">
        <v>33</v>
      </c>
      <c r="F70" s="33" t="s">
        <v>34</v>
      </c>
      <c r="G70" s="38"/>
      <c r="H70" s="38"/>
      <c r="I70" s="40">
        <v>101850</v>
      </c>
    </row>
    <row r="71" spans="1:9" ht="16.5" customHeight="1">
      <c r="A71" s="28"/>
      <c r="B71" s="29"/>
      <c r="C71" s="29"/>
      <c r="D71" s="29"/>
      <c r="E71" s="43">
        <v>602.4</v>
      </c>
      <c r="F71" s="33" t="s">
        <v>35</v>
      </c>
      <c r="G71" s="38"/>
      <c r="H71" s="38"/>
      <c r="I71" s="40">
        <v>631415</v>
      </c>
    </row>
    <row r="72" spans="1:9" ht="15.75" customHeight="1">
      <c r="A72" s="28"/>
      <c r="B72" s="29"/>
      <c r="C72" s="29"/>
      <c r="D72" s="29"/>
      <c r="E72" s="43">
        <v>602.5</v>
      </c>
      <c r="F72" s="33" t="s">
        <v>36</v>
      </c>
      <c r="G72" s="38"/>
      <c r="H72" s="38"/>
      <c r="I72" s="40">
        <v>187040</v>
      </c>
    </row>
    <row r="73" spans="1:9" ht="16.5" customHeight="1">
      <c r="A73" s="28"/>
      <c r="B73" s="29"/>
      <c r="C73" s="29"/>
      <c r="D73" s="29"/>
      <c r="E73" s="43">
        <v>602.6</v>
      </c>
      <c r="F73" s="33" t="s">
        <v>37</v>
      </c>
      <c r="G73" s="38"/>
      <c r="H73" s="38"/>
      <c r="I73" s="40">
        <v>0</v>
      </c>
    </row>
    <row r="74" spans="1:9">
      <c r="A74" s="28"/>
      <c r="B74" s="29"/>
      <c r="C74" s="29"/>
      <c r="D74" s="29"/>
      <c r="E74" s="43">
        <v>602.70000000000005</v>
      </c>
      <c r="F74" s="33" t="s">
        <v>38</v>
      </c>
      <c r="G74" s="38"/>
      <c r="H74" s="38"/>
      <c r="I74" s="40">
        <v>0</v>
      </c>
    </row>
    <row r="75" spans="1:9">
      <c r="A75" s="28"/>
      <c r="B75" s="29"/>
      <c r="C75" s="29"/>
      <c r="D75" s="29"/>
      <c r="E75" s="43">
        <v>602.9</v>
      </c>
      <c r="F75" s="33" t="s">
        <v>39</v>
      </c>
      <c r="G75" s="38"/>
      <c r="H75" s="38"/>
      <c r="I75" s="40">
        <v>420326</v>
      </c>
    </row>
    <row r="76" spans="1:9" ht="15.75" customHeight="1">
      <c r="A76" s="28"/>
      <c r="B76" s="29"/>
      <c r="C76" s="29"/>
      <c r="D76" s="29"/>
      <c r="E76" s="43"/>
      <c r="F76" s="33" t="s">
        <v>50</v>
      </c>
      <c r="G76" s="38"/>
      <c r="H76" s="38"/>
      <c r="I76" s="40">
        <v>265326</v>
      </c>
    </row>
    <row r="77" spans="1:9" ht="15.75" customHeight="1">
      <c r="A77" s="28"/>
      <c r="B77" s="29"/>
      <c r="C77" s="29"/>
      <c r="D77" s="29"/>
      <c r="E77" s="43"/>
      <c r="F77" s="33" t="s">
        <v>40</v>
      </c>
      <c r="G77" s="38"/>
      <c r="H77" s="38"/>
      <c r="I77" s="40">
        <v>150000</v>
      </c>
    </row>
    <row r="78" spans="1:9" ht="15" customHeight="1">
      <c r="A78" s="28"/>
      <c r="B78" s="29"/>
      <c r="C78" s="29"/>
      <c r="D78" s="30">
        <v>604</v>
      </c>
      <c r="E78" s="44"/>
      <c r="F78" s="37" t="s">
        <v>42</v>
      </c>
      <c r="G78" s="38"/>
      <c r="H78" s="38"/>
      <c r="I78" s="38">
        <v>0</v>
      </c>
    </row>
    <row r="79" spans="1:9" ht="15.75" customHeight="1">
      <c r="A79" s="28"/>
      <c r="B79" s="29">
        <v>15</v>
      </c>
      <c r="C79" s="29"/>
      <c r="D79" s="29">
        <v>231</v>
      </c>
      <c r="E79" s="30" t="s">
        <v>23</v>
      </c>
      <c r="F79" s="37" t="s">
        <v>24</v>
      </c>
      <c r="G79" s="34">
        <f>SUM(G80 )</f>
        <v>0</v>
      </c>
      <c r="H79" s="34"/>
      <c r="I79" s="34">
        <f>SUM(I80 )</f>
        <v>0</v>
      </c>
    </row>
    <row r="80" spans="1:9" ht="15.75" customHeight="1">
      <c r="A80" s="28"/>
      <c r="B80" s="29"/>
      <c r="C80" s="29"/>
      <c r="D80" s="29">
        <v>231</v>
      </c>
      <c r="E80" s="29"/>
      <c r="F80" s="33" t="s">
        <v>46</v>
      </c>
      <c r="G80" s="45"/>
      <c r="H80" s="45"/>
      <c r="I80" s="40"/>
    </row>
    <row r="81" spans="1:9" ht="15.75" customHeight="1">
      <c r="A81" s="33"/>
      <c r="B81" s="33"/>
      <c r="C81" s="33"/>
      <c r="D81" s="30"/>
      <c r="E81" s="37"/>
      <c r="F81" s="37"/>
      <c r="G81" s="38"/>
      <c r="H81" s="37"/>
      <c r="I81" s="38">
        <v>0</v>
      </c>
    </row>
    <row r="82" spans="1:9" ht="20.100000000000001" customHeight="1">
      <c r="A82" s="60" t="s">
        <v>45</v>
      </c>
      <c r="B82" s="51"/>
      <c r="C82" s="51"/>
      <c r="D82" s="51"/>
      <c r="E82" s="51"/>
      <c r="F82" s="60" t="s">
        <v>43</v>
      </c>
      <c r="G82" s="51"/>
      <c r="H82" s="51"/>
      <c r="I82" s="12"/>
    </row>
    <row r="83" spans="1:9" ht="20.100000000000001" customHeight="1">
      <c r="A83" s="11" t="s">
        <v>30</v>
      </c>
      <c r="B83" s="11" t="s">
        <v>28</v>
      </c>
      <c r="C83" s="58"/>
      <c r="D83" s="61"/>
      <c r="E83" s="61"/>
      <c r="F83" s="60" t="s">
        <v>44</v>
      </c>
      <c r="G83" s="51"/>
      <c r="H83" s="51"/>
      <c r="I83" s="12"/>
    </row>
    <row r="84" spans="1:9">
      <c r="A84" s="12"/>
      <c r="B84" s="12"/>
      <c r="C84" s="12"/>
      <c r="D84" s="12"/>
      <c r="E84" s="12"/>
      <c r="F84" s="12"/>
      <c r="G84" s="12"/>
      <c r="H84" s="12"/>
      <c r="I84" s="12"/>
    </row>
    <row r="85" spans="1:9">
      <c r="A85" s="4"/>
    </row>
    <row r="86" spans="1:9" ht="17.25" customHeight="1">
      <c r="A86" s="11" t="s">
        <v>0</v>
      </c>
      <c r="B86" s="9"/>
      <c r="C86" s="9"/>
      <c r="D86" s="9"/>
      <c r="E86" s="9"/>
      <c r="F86" s="9"/>
      <c r="G86" s="9"/>
      <c r="H86" s="9"/>
      <c r="I86" s="9"/>
    </row>
    <row r="87" spans="1:9" ht="13.5" customHeight="1">
      <c r="A87" s="11" t="s">
        <v>1</v>
      </c>
      <c r="B87" s="9"/>
      <c r="C87" s="9"/>
      <c r="D87" s="9"/>
      <c r="E87" s="9"/>
      <c r="F87" s="9"/>
      <c r="G87" s="10"/>
      <c r="H87" s="10"/>
      <c r="I87" s="10"/>
    </row>
    <row r="88" spans="1:9" ht="14.25" customHeight="1">
      <c r="A88" s="11" t="s">
        <v>27</v>
      </c>
      <c r="B88" s="9"/>
      <c r="C88" s="9"/>
      <c r="D88" s="9"/>
      <c r="E88" s="9"/>
      <c r="F88" s="9"/>
      <c r="G88" s="9"/>
      <c r="H88" s="9"/>
      <c r="I88" s="9"/>
    </row>
    <row r="89" spans="1:9" ht="13.5">
      <c r="A89" s="11" t="s">
        <v>2</v>
      </c>
      <c r="B89" s="11"/>
      <c r="C89" s="11"/>
      <c r="D89" s="11"/>
      <c r="E89" s="11"/>
      <c r="F89" s="9"/>
      <c r="G89" s="10"/>
      <c r="H89" s="10"/>
      <c r="I89" s="10"/>
    </row>
    <row r="90" spans="1:9" ht="11.25" customHeight="1">
      <c r="A90" s="9"/>
      <c r="B90" s="9"/>
      <c r="C90" s="9"/>
      <c r="D90" s="9"/>
      <c r="E90" s="9"/>
      <c r="F90" s="9"/>
      <c r="G90" s="10"/>
      <c r="H90" s="10"/>
      <c r="I90" s="9"/>
    </row>
    <row r="91" spans="1:9" ht="15.75" customHeight="1">
      <c r="A91" s="59" t="s">
        <v>60</v>
      </c>
      <c r="B91" s="50"/>
      <c r="C91" s="51"/>
      <c r="D91" s="51"/>
      <c r="E91" s="51"/>
      <c r="F91" s="51"/>
      <c r="G91" s="51"/>
      <c r="H91" s="51"/>
      <c r="I91" s="11"/>
    </row>
    <row r="92" spans="1:9" ht="19.5" customHeight="1">
      <c r="A92" s="14"/>
      <c r="B92" s="14"/>
      <c r="C92" s="14"/>
      <c r="D92" s="14"/>
      <c r="E92" s="14"/>
      <c r="F92" s="14"/>
      <c r="G92" s="14"/>
      <c r="H92" s="14"/>
      <c r="I92" s="14"/>
    </row>
    <row r="93" spans="1:9" ht="19.5" customHeight="1">
      <c r="A93" s="15" t="s">
        <v>3</v>
      </c>
      <c r="B93" s="16" t="s">
        <v>4</v>
      </c>
      <c r="C93" s="17" t="s">
        <v>5</v>
      </c>
      <c r="D93" s="18" t="s">
        <v>6</v>
      </c>
      <c r="E93" s="18" t="s">
        <v>7</v>
      </c>
      <c r="F93" s="15" t="s">
        <v>8</v>
      </c>
      <c r="G93" s="19" t="s">
        <v>25</v>
      </c>
      <c r="H93" s="19" t="s">
        <v>25</v>
      </c>
      <c r="I93" s="20" t="s">
        <v>48</v>
      </c>
    </row>
    <row r="94" spans="1:9" ht="19.5" customHeight="1">
      <c r="A94" s="21"/>
      <c r="B94" s="22"/>
      <c r="C94" s="23"/>
      <c r="D94" s="24"/>
      <c r="E94" s="25"/>
      <c r="F94" s="21"/>
      <c r="G94" s="26" t="s">
        <v>49</v>
      </c>
      <c r="H94" s="26" t="s">
        <v>59</v>
      </c>
      <c r="I94" s="27" t="s">
        <v>47</v>
      </c>
    </row>
    <row r="95" spans="1:9" ht="19.5" customHeight="1">
      <c r="A95" s="28"/>
      <c r="B95" s="29"/>
      <c r="C95" s="29"/>
      <c r="D95" s="29"/>
      <c r="E95" s="30" t="s">
        <v>9</v>
      </c>
      <c r="F95" s="31" t="s">
        <v>10</v>
      </c>
      <c r="G95" s="29" t="s">
        <v>11</v>
      </c>
      <c r="H95" s="29"/>
      <c r="I95" s="32"/>
    </row>
    <row r="96" spans="1:9" ht="19.5" customHeight="1">
      <c r="A96" s="28"/>
      <c r="B96" s="29"/>
      <c r="C96" s="29"/>
      <c r="D96" s="29"/>
      <c r="E96" s="29">
        <v>1</v>
      </c>
      <c r="F96" s="33" t="s">
        <v>12</v>
      </c>
      <c r="G96" s="29"/>
      <c r="H96" s="29"/>
      <c r="I96" s="33"/>
    </row>
    <row r="97" spans="1:12" ht="19.5" customHeight="1">
      <c r="A97" s="28"/>
      <c r="B97" s="29"/>
      <c r="C97" s="29"/>
      <c r="D97" s="29"/>
      <c r="E97" s="29">
        <v>2</v>
      </c>
      <c r="F97" s="33" t="s">
        <v>13</v>
      </c>
      <c r="G97" s="29"/>
      <c r="H97" s="29"/>
      <c r="I97" s="33"/>
    </row>
    <row r="98" spans="1:12" ht="19.5" customHeight="1">
      <c r="A98" s="28"/>
      <c r="B98" s="29"/>
      <c r="C98" s="29"/>
      <c r="D98" s="29"/>
      <c r="E98" s="29">
        <v>3</v>
      </c>
      <c r="F98" s="33" t="s">
        <v>14</v>
      </c>
      <c r="G98" s="29"/>
      <c r="H98" s="29"/>
      <c r="I98" s="33"/>
    </row>
    <row r="99" spans="1:12" ht="19.5" customHeight="1">
      <c r="A99" s="28"/>
      <c r="B99" s="29"/>
      <c r="C99" s="29"/>
      <c r="D99" s="29"/>
      <c r="E99" s="29">
        <v>4</v>
      </c>
      <c r="F99" s="33" t="s">
        <v>15</v>
      </c>
      <c r="G99" s="28"/>
      <c r="H99" s="28"/>
      <c r="I99" s="33"/>
    </row>
    <row r="100" spans="1:12" ht="19.5" customHeight="1">
      <c r="A100" s="28"/>
      <c r="B100" s="29"/>
      <c r="C100" s="29"/>
      <c r="D100" s="29"/>
      <c r="E100" s="30" t="s">
        <v>16</v>
      </c>
      <c r="F100" s="31" t="s">
        <v>17</v>
      </c>
      <c r="G100" s="34">
        <f>G102 +G121</f>
        <v>81631</v>
      </c>
      <c r="H100" s="34">
        <f>H102 +H121</f>
        <v>27210</v>
      </c>
      <c r="I100" s="34">
        <f>I102 +I121</f>
        <v>18436253</v>
      </c>
    </row>
    <row r="101" spans="1:12" ht="19.5" customHeight="1">
      <c r="A101" s="35">
        <v>25</v>
      </c>
      <c r="B101" s="36" t="s">
        <v>26</v>
      </c>
      <c r="C101" s="29"/>
      <c r="D101" s="29"/>
      <c r="E101" s="29"/>
      <c r="F101" s="33" t="s">
        <v>18</v>
      </c>
      <c r="G101" s="32"/>
      <c r="H101" s="32"/>
      <c r="I101" s="29"/>
    </row>
    <row r="102" spans="1:12" ht="19.5" customHeight="1">
      <c r="A102" s="28"/>
      <c r="B102" s="29"/>
      <c r="C102" s="29">
        <v>1</v>
      </c>
      <c r="D102" s="29"/>
      <c r="E102" s="29"/>
      <c r="F102" s="37" t="s">
        <v>19</v>
      </c>
      <c r="G102" s="38">
        <f>SUM(G103 +G109+G120  )</f>
        <v>81631</v>
      </c>
      <c r="H102" s="38">
        <f>SUM(H103 +H109+H120  )</f>
        <v>27210</v>
      </c>
      <c r="I102" s="38">
        <f>SUM(I103 +I109+I120  )</f>
        <v>18436253</v>
      </c>
    </row>
    <row r="103" spans="1:12" ht="19.5" customHeight="1">
      <c r="A103" s="28"/>
      <c r="B103" s="29"/>
      <c r="C103" s="29"/>
      <c r="D103" s="29">
        <v>600.1</v>
      </c>
      <c r="E103" s="29"/>
      <c r="F103" s="37" t="s">
        <v>41</v>
      </c>
      <c r="G103" s="38">
        <f>SUM(G104 +G107  )</f>
        <v>63151</v>
      </c>
      <c r="H103" s="38">
        <f>SUM(H104 +H107  )</f>
        <v>21050</v>
      </c>
      <c r="I103" s="38">
        <f>SUM(I104 +I107  )</f>
        <v>13888454</v>
      </c>
      <c r="J103" s="2" t="s">
        <v>56</v>
      </c>
      <c r="K103" s="2" t="s">
        <v>55</v>
      </c>
      <c r="L103" s="3" t="s">
        <v>57</v>
      </c>
    </row>
    <row r="104" spans="1:12" ht="19.5" customHeight="1">
      <c r="A104" s="28"/>
      <c r="B104" s="29"/>
      <c r="C104" s="29"/>
      <c r="D104" s="29"/>
      <c r="E104" s="39">
        <v>600</v>
      </c>
      <c r="F104" s="31" t="s">
        <v>20</v>
      </c>
      <c r="G104" s="38">
        <f>SUM(G105:G106)</f>
        <v>54599</v>
      </c>
      <c r="H104" s="38">
        <v>18200</v>
      </c>
      <c r="I104" s="49">
        <f>SUM(I105:I106)</f>
        <v>11484229</v>
      </c>
      <c r="J104" s="1">
        <v>56049</v>
      </c>
      <c r="K104" s="1">
        <v>-1450</v>
      </c>
      <c r="L104" s="3">
        <f>SUM(J104:K104)</f>
        <v>54599</v>
      </c>
    </row>
    <row r="105" spans="1:12" ht="19.5" customHeight="1">
      <c r="A105" s="28"/>
      <c r="B105" s="29"/>
      <c r="C105" s="29"/>
      <c r="D105" s="29"/>
      <c r="E105" s="39"/>
      <c r="F105" s="33" t="s">
        <v>20</v>
      </c>
      <c r="G105" s="38">
        <v>52000</v>
      </c>
      <c r="H105" s="38"/>
      <c r="I105" s="40">
        <v>11484229</v>
      </c>
      <c r="J105" s="53">
        <v>53380</v>
      </c>
      <c r="K105" s="1">
        <v>-1380</v>
      </c>
      <c r="L105" s="54">
        <f>SUM(J105:K105)</f>
        <v>52000</v>
      </c>
    </row>
    <row r="106" spans="1:12" ht="19.5" customHeight="1">
      <c r="A106" s="28"/>
      <c r="B106" s="29"/>
      <c r="C106" s="29"/>
      <c r="D106" s="29"/>
      <c r="E106" s="39"/>
      <c r="F106" s="33" t="s">
        <v>21</v>
      </c>
      <c r="G106" s="38">
        <v>2599</v>
      </c>
      <c r="H106" s="38"/>
      <c r="I106" s="40">
        <v>0</v>
      </c>
      <c r="J106" s="53">
        <v>2669</v>
      </c>
      <c r="K106" s="1">
        <v>-70</v>
      </c>
      <c r="L106" s="54">
        <f>SUM(J106:K106)</f>
        <v>2599</v>
      </c>
    </row>
    <row r="107" spans="1:12" ht="19.5" customHeight="1">
      <c r="A107" s="28"/>
      <c r="B107" s="29"/>
      <c r="C107" s="29"/>
      <c r="D107" s="29">
        <v>601</v>
      </c>
      <c r="E107" s="29"/>
      <c r="F107" s="31" t="s">
        <v>22</v>
      </c>
      <c r="G107" s="38">
        <v>8552</v>
      </c>
      <c r="H107" s="38">
        <v>2850</v>
      </c>
      <c r="I107" s="47">
        <v>2404225</v>
      </c>
      <c r="J107" s="1">
        <v>9012</v>
      </c>
      <c r="K107" s="1">
        <v>-460</v>
      </c>
      <c r="L107" s="3">
        <f>SUM(J107:K107)</f>
        <v>8552</v>
      </c>
    </row>
    <row r="108" spans="1:12" ht="19.5" customHeight="1">
      <c r="A108" s="28"/>
      <c r="B108" s="29"/>
      <c r="C108" s="29"/>
      <c r="D108" s="29"/>
      <c r="E108" s="29"/>
      <c r="F108" s="31"/>
      <c r="G108" s="38"/>
      <c r="H108" s="38"/>
      <c r="I108" s="41"/>
    </row>
    <row r="109" spans="1:12" ht="19.5" customHeight="1">
      <c r="A109" s="28"/>
      <c r="B109" s="29"/>
      <c r="C109" s="29"/>
      <c r="D109" s="29">
        <v>602</v>
      </c>
      <c r="E109" s="29"/>
      <c r="F109" s="42" t="s">
        <v>29</v>
      </c>
      <c r="G109" s="34">
        <v>18480</v>
      </c>
      <c r="H109" s="34">
        <v>6160</v>
      </c>
      <c r="I109" s="34">
        <f>SUM(I110:I117)</f>
        <v>4547799</v>
      </c>
      <c r="J109" s="55">
        <v>20080</v>
      </c>
      <c r="K109" s="56">
        <v>-1600</v>
      </c>
      <c r="L109" s="55">
        <f>SUM(J109:K109)</f>
        <v>18480</v>
      </c>
    </row>
    <row r="110" spans="1:12" ht="19.5" customHeight="1">
      <c r="A110" s="28"/>
      <c r="B110" s="29"/>
      <c r="C110" s="29"/>
      <c r="D110" s="29"/>
      <c r="E110" s="43">
        <v>602</v>
      </c>
      <c r="F110" s="33" t="s">
        <v>31</v>
      </c>
      <c r="G110" s="38"/>
      <c r="H110" s="38"/>
      <c r="I110" s="40">
        <v>146427</v>
      </c>
    </row>
    <row r="111" spans="1:12" ht="15" customHeight="1">
      <c r="A111" s="28"/>
      <c r="B111" s="29"/>
      <c r="C111" s="29"/>
      <c r="D111" s="29"/>
      <c r="E111" s="43">
        <v>602.20000000000005</v>
      </c>
      <c r="F111" s="33" t="s">
        <v>32</v>
      </c>
      <c r="G111" s="38"/>
      <c r="H111" s="38"/>
      <c r="I111" s="40">
        <v>976556</v>
      </c>
    </row>
    <row r="112" spans="1:12" ht="17.25" customHeight="1">
      <c r="A112" s="28"/>
      <c r="B112" s="29"/>
      <c r="C112" s="29"/>
      <c r="D112" s="29"/>
      <c r="E112" s="43" t="s">
        <v>33</v>
      </c>
      <c r="F112" s="33" t="s">
        <v>34</v>
      </c>
      <c r="G112" s="38"/>
      <c r="H112" s="38"/>
      <c r="I112" s="40">
        <v>120754</v>
      </c>
    </row>
    <row r="113" spans="1:11" ht="16.5" customHeight="1">
      <c r="A113" s="28"/>
      <c r="B113" s="29"/>
      <c r="C113" s="29"/>
      <c r="D113" s="29"/>
      <c r="E113" s="43">
        <v>602.4</v>
      </c>
      <c r="F113" s="33" t="s">
        <v>35</v>
      </c>
      <c r="G113" s="38"/>
      <c r="H113" s="38"/>
      <c r="I113" s="40">
        <v>1969588</v>
      </c>
      <c r="K113">
        <v>4558119</v>
      </c>
    </row>
    <row r="114" spans="1:11" ht="15.75" customHeight="1" thickBot="1">
      <c r="A114" s="28"/>
      <c r="B114" s="29"/>
      <c r="C114" s="29"/>
      <c r="D114" s="29"/>
      <c r="E114" s="43">
        <v>602.5</v>
      </c>
      <c r="F114" s="33" t="s">
        <v>36</v>
      </c>
      <c r="G114" s="38"/>
      <c r="H114" s="38"/>
      <c r="I114" s="40">
        <v>628440</v>
      </c>
      <c r="K114">
        <v>-4552219</v>
      </c>
    </row>
    <row r="115" spans="1:11" ht="16.5" customHeight="1" thickBot="1">
      <c r="A115" s="28"/>
      <c r="B115" s="29"/>
      <c r="C115" s="29"/>
      <c r="D115" s="29"/>
      <c r="E115" s="43">
        <v>602.6</v>
      </c>
      <c r="F115" s="33" t="s">
        <v>37</v>
      </c>
      <c r="G115" s="38"/>
      <c r="H115" s="38"/>
      <c r="I115" s="40">
        <v>0</v>
      </c>
      <c r="K115" s="57">
        <f>SUM(K113:K114)</f>
        <v>5900</v>
      </c>
    </row>
    <row r="116" spans="1:11">
      <c r="A116" s="28"/>
      <c r="B116" s="29"/>
      <c r="C116" s="29"/>
      <c r="D116" s="29"/>
      <c r="E116" s="43">
        <v>602.70000000000005</v>
      </c>
      <c r="F116" s="33" t="s">
        <v>38</v>
      </c>
      <c r="G116" s="38"/>
      <c r="H116" s="38"/>
      <c r="I116" s="40">
        <v>0</v>
      </c>
    </row>
    <row r="117" spans="1:11">
      <c r="A117" s="28"/>
      <c r="B117" s="29"/>
      <c r="C117" s="29"/>
      <c r="D117" s="29"/>
      <c r="E117" s="43">
        <v>602.9</v>
      </c>
      <c r="F117" s="33" t="s">
        <v>39</v>
      </c>
      <c r="G117" s="38"/>
      <c r="H117" s="38"/>
      <c r="I117" s="40">
        <v>706034</v>
      </c>
    </row>
    <row r="118" spans="1:11" ht="15.75" customHeight="1">
      <c r="A118" s="28"/>
      <c r="B118" s="29"/>
      <c r="C118" s="29"/>
      <c r="D118" s="29"/>
      <c r="E118" s="43"/>
      <c r="F118" s="33" t="s">
        <v>50</v>
      </c>
      <c r="G118" s="38"/>
      <c r="H118" s="38"/>
      <c r="I118" s="40">
        <v>556034</v>
      </c>
    </row>
    <row r="119" spans="1:11" ht="15.75" customHeight="1">
      <c r="A119" s="28"/>
      <c r="B119" s="29"/>
      <c r="C119" s="29"/>
      <c r="D119" s="29"/>
      <c r="E119" s="43"/>
      <c r="F119" s="33" t="s">
        <v>40</v>
      </c>
      <c r="G119" s="38"/>
      <c r="H119" s="38"/>
      <c r="I119" s="40">
        <v>150000</v>
      </c>
    </row>
    <row r="120" spans="1:11" ht="15" customHeight="1">
      <c r="A120" s="28"/>
      <c r="B120" s="29"/>
      <c r="C120" s="29"/>
      <c r="D120" s="30">
        <v>604</v>
      </c>
      <c r="E120" s="44"/>
      <c r="F120" s="37" t="s">
        <v>42</v>
      </c>
      <c r="G120" s="38"/>
      <c r="H120" s="38"/>
      <c r="I120" s="38">
        <v>0</v>
      </c>
    </row>
    <row r="121" spans="1:11" ht="15.75" customHeight="1">
      <c r="A121" s="28"/>
      <c r="B121" s="29">
        <v>15</v>
      </c>
      <c r="C121" s="29"/>
      <c r="D121" s="29">
        <v>231</v>
      </c>
      <c r="E121" s="30" t="s">
        <v>23</v>
      </c>
      <c r="F121" s="37" t="s">
        <v>24</v>
      </c>
      <c r="G121" s="34">
        <f>SUM(G122 )</f>
        <v>0</v>
      </c>
      <c r="H121" s="34"/>
      <c r="I121" s="34">
        <f>SUM(I122 )</f>
        <v>0</v>
      </c>
    </row>
    <row r="122" spans="1:11" ht="15.75" customHeight="1">
      <c r="A122" s="28"/>
      <c r="B122" s="29"/>
      <c r="C122" s="29"/>
      <c r="D122" s="29">
        <v>231</v>
      </c>
      <c r="E122" s="29"/>
      <c r="F122" s="33" t="s">
        <v>46</v>
      </c>
      <c r="G122" s="45"/>
      <c r="H122" s="45"/>
      <c r="I122" s="40"/>
    </row>
    <row r="123" spans="1:11" ht="15.75" customHeight="1">
      <c r="A123" s="33"/>
      <c r="B123" s="33"/>
      <c r="C123" s="33"/>
      <c r="D123" s="30"/>
      <c r="E123" s="37"/>
      <c r="F123" s="37"/>
      <c r="G123" s="38"/>
      <c r="H123" s="37"/>
      <c r="I123" s="38">
        <v>0</v>
      </c>
    </row>
    <row r="124" spans="1:11" ht="16.5" customHeight="1">
      <c r="A124" s="46" t="s">
        <v>45</v>
      </c>
      <c r="B124" s="13"/>
      <c r="C124" s="13"/>
      <c r="D124" s="13"/>
      <c r="E124" s="13"/>
      <c r="F124" s="46" t="s">
        <v>43</v>
      </c>
      <c r="G124" s="13"/>
      <c r="H124" s="13"/>
      <c r="I124" s="12"/>
    </row>
    <row r="125" spans="1:11" ht="17.25" customHeight="1">
      <c r="A125" s="9" t="s">
        <v>30</v>
      </c>
      <c r="B125" s="9" t="s">
        <v>28</v>
      </c>
      <c r="C125" s="10"/>
      <c r="D125" s="12"/>
      <c r="E125" s="12"/>
      <c r="F125" s="46" t="s">
        <v>44</v>
      </c>
      <c r="G125" s="13"/>
      <c r="H125" s="13"/>
      <c r="I125" s="12"/>
    </row>
    <row r="126" spans="1:11">
      <c r="A126" s="12"/>
      <c r="B126" s="12"/>
      <c r="C126" s="12"/>
      <c r="D126" s="12"/>
      <c r="E126" s="12"/>
      <c r="F126" s="12"/>
      <c r="G126" s="12"/>
      <c r="H126" s="12"/>
      <c r="I126" s="12"/>
    </row>
    <row r="127" spans="1:11">
      <c r="A127" s="4"/>
    </row>
    <row r="128" spans="1:11" ht="17.25" customHeight="1">
      <c r="A128" s="9" t="s">
        <v>0</v>
      </c>
      <c r="B128" s="9"/>
      <c r="C128" s="9"/>
      <c r="D128" s="9"/>
      <c r="E128" s="9"/>
      <c r="F128" s="9"/>
      <c r="G128" s="9"/>
      <c r="H128" s="9"/>
      <c r="I128" s="9"/>
    </row>
    <row r="129" spans="1:13" ht="13.5" customHeight="1">
      <c r="A129" s="9" t="s">
        <v>1</v>
      </c>
      <c r="B129" s="9"/>
      <c r="C129" s="9"/>
      <c r="D129" s="9"/>
      <c r="E129" s="9"/>
      <c r="F129" s="9"/>
      <c r="G129" s="10"/>
      <c r="H129" s="10"/>
      <c r="I129" s="10"/>
    </row>
    <row r="130" spans="1:13" ht="14.25" customHeight="1">
      <c r="A130" s="9" t="s">
        <v>27</v>
      </c>
      <c r="B130" s="9"/>
      <c r="C130" s="9"/>
      <c r="D130" s="9"/>
      <c r="E130" s="9"/>
      <c r="F130" s="9"/>
      <c r="G130" s="9"/>
      <c r="H130" s="9"/>
      <c r="I130" s="9"/>
    </row>
    <row r="131" spans="1:13" ht="13.5">
      <c r="A131" s="11" t="s">
        <v>2</v>
      </c>
      <c r="B131" s="11"/>
      <c r="C131" s="11"/>
      <c r="D131" s="11"/>
      <c r="E131" s="11"/>
      <c r="F131" s="9"/>
      <c r="G131" s="10"/>
      <c r="H131" s="10"/>
      <c r="I131" s="10"/>
    </row>
    <row r="132" spans="1:13" ht="12.75" customHeight="1">
      <c r="A132" s="9"/>
      <c r="B132" s="9"/>
      <c r="C132" s="9"/>
      <c r="D132" s="9"/>
      <c r="E132" s="9"/>
      <c r="F132" s="9"/>
      <c r="G132" s="10"/>
      <c r="H132" s="10"/>
      <c r="I132" s="9"/>
    </row>
    <row r="133" spans="1:13" ht="15.75" customHeight="1">
      <c r="A133" s="52" t="s">
        <v>58</v>
      </c>
      <c r="B133" s="50"/>
      <c r="C133" s="51"/>
      <c r="D133" s="51"/>
      <c r="E133" s="51"/>
      <c r="F133" s="51"/>
      <c r="G133" s="51"/>
      <c r="H133" s="51"/>
      <c r="I133" s="11"/>
    </row>
    <row r="134" spans="1:13" ht="19.5" customHeight="1">
      <c r="A134" s="14"/>
      <c r="B134" s="14"/>
      <c r="C134" s="14"/>
      <c r="D134" s="14"/>
      <c r="E134" s="14"/>
      <c r="F134" s="14"/>
      <c r="G134" s="14"/>
      <c r="H134" s="14"/>
      <c r="I134" s="14"/>
    </row>
    <row r="135" spans="1:13" ht="19.5" customHeight="1">
      <c r="A135" s="15" t="s">
        <v>3</v>
      </c>
      <c r="B135" s="16" t="s">
        <v>4</v>
      </c>
      <c r="C135" s="17" t="s">
        <v>5</v>
      </c>
      <c r="D135" s="18" t="s">
        <v>6</v>
      </c>
      <c r="E135" s="18" t="s">
        <v>7</v>
      </c>
      <c r="F135" s="15" t="s">
        <v>8</v>
      </c>
      <c r="G135" s="19" t="s">
        <v>25</v>
      </c>
      <c r="H135" s="19" t="s">
        <v>25</v>
      </c>
      <c r="I135" s="20" t="s">
        <v>48</v>
      </c>
    </row>
    <row r="136" spans="1:13" ht="19.5" customHeight="1">
      <c r="A136" s="21"/>
      <c r="B136" s="22"/>
      <c r="C136" s="23"/>
      <c r="D136" s="24"/>
      <c r="E136" s="25"/>
      <c r="F136" s="21"/>
      <c r="G136" s="26" t="s">
        <v>49</v>
      </c>
      <c r="H136" s="26" t="s">
        <v>62</v>
      </c>
      <c r="I136" s="27" t="s">
        <v>47</v>
      </c>
    </row>
    <row r="137" spans="1:13" ht="19.5" customHeight="1">
      <c r="A137" s="28"/>
      <c r="B137" s="29"/>
      <c r="C137" s="29"/>
      <c r="D137" s="29"/>
      <c r="E137" s="30" t="s">
        <v>9</v>
      </c>
      <c r="F137" s="31" t="s">
        <v>10</v>
      </c>
      <c r="G137" s="29" t="s">
        <v>11</v>
      </c>
      <c r="H137" s="29"/>
      <c r="I137" s="32"/>
    </row>
    <row r="138" spans="1:13" ht="19.5" customHeight="1">
      <c r="A138" s="28"/>
      <c r="B138" s="29"/>
      <c r="C138" s="29"/>
      <c r="D138" s="29"/>
      <c r="E138" s="29">
        <v>1</v>
      </c>
      <c r="F138" s="33" t="s">
        <v>12</v>
      </c>
      <c r="G138" s="29"/>
      <c r="H138" s="29"/>
      <c r="I138" s="33"/>
    </row>
    <row r="139" spans="1:13" ht="19.5" customHeight="1">
      <c r="A139" s="28"/>
      <c r="B139" s="29"/>
      <c r="C139" s="29"/>
      <c r="D139" s="29"/>
      <c r="E139" s="29">
        <v>2</v>
      </c>
      <c r="F139" s="33" t="s">
        <v>13</v>
      </c>
      <c r="G139" s="29"/>
      <c r="H139" s="29"/>
      <c r="I139" s="33"/>
    </row>
    <row r="140" spans="1:13" ht="19.5" customHeight="1">
      <c r="A140" s="28"/>
      <c r="B140" s="29"/>
      <c r="C140" s="29"/>
      <c r="D140" s="29"/>
      <c r="E140" s="29">
        <v>3</v>
      </c>
      <c r="F140" s="33" t="s">
        <v>14</v>
      </c>
      <c r="G140" s="29"/>
      <c r="H140" s="29"/>
      <c r="I140" s="33"/>
      <c r="M140">
        <v>46849</v>
      </c>
    </row>
    <row r="141" spans="1:13" ht="19.5" customHeight="1" thickBot="1">
      <c r="A141" s="28"/>
      <c r="B141" s="29"/>
      <c r="C141" s="29"/>
      <c r="D141" s="29"/>
      <c r="E141" s="29">
        <v>4</v>
      </c>
      <c r="F141" s="33" t="s">
        <v>15</v>
      </c>
      <c r="G141" s="28"/>
      <c r="H141" s="28"/>
      <c r="I141" s="33"/>
      <c r="M141">
        <v>-37154</v>
      </c>
    </row>
    <row r="142" spans="1:13" ht="19.5" customHeight="1" thickBot="1">
      <c r="A142" s="28"/>
      <c r="B142" s="29"/>
      <c r="C142" s="29"/>
      <c r="D142" s="29"/>
      <c r="E142" s="30" t="s">
        <v>16</v>
      </c>
      <c r="F142" s="31" t="s">
        <v>17</v>
      </c>
      <c r="G142" s="34">
        <f>G144 +G163</f>
        <v>72431</v>
      </c>
      <c r="H142" s="34">
        <f>H144 +H163</f>
        <v>27694</v>
      </c>
      <c r="I142" s="34">
        <f>I144 +I163</f>
        <v>23073171</v>
      </c>
      <c r="M142" s="57">
        <f>SUM(M140:M141)</f>
        <v>9695</v>
      </c>
    </row>
    <row r="143" spans="1:13" ht="19.5" customHeight="1">
      <c r="A143" s="35">
        <v>25</v>
      </c>
      <c r="B143" s="36" t="s">
        <v>26</v>
      </c>
      <c r="C143" s="29"/>
      <c r="D143" s="29"/>
      <c r="E143" s="29"/>
      <c r="F143" s="33" t="s">
        <v>18</v>
      </c>
      <c r="G143" s="32"/>
      <c r="H143" s="32"/>
      <c r="I143" s="29"/>
    </row>
    <row r="144" spans="1:13" ht="19.5" customHeight="1">
      <c r="A144" s="28"/>
      <c r="B144" s="29"/>
      <c r="C144" s="29">
        <v>1</v>
      </c>
      <c r="D144" s="29"/>
      <c r="E144" s="29"/>
      <c r="F144" s="37" t="s">
        <v>19</v>
      </c>
      <c r="G144" s="38">
        <f>SUM(G145 +G151+G162  )</f>
        <v>72431</v>
      </c>
      <c r="H144" s="38">
        <f>SUM(H145 +H151+H162  )</f>
        <v>27694</v>
      </c>
      <c r="I144" s="38">
        <f>SUM(I145 +I151+I162  )</f>
        <v>23073171</v>
      </c>
      <c r="K144">
        <f>SUM(K147:K148)</f>
        <v>-9200</v>
      </c>
      <c r="L144" s="62">
        <f>SUM(L147:L148)</f>
        <v>46849</v>
      </c>
    </row>
    <row r="145" spans="1:15" ht="19.5" customHeight="1">
      <c r="A145" s="28"/>
      <c r="B145" s="29"/>
      <c r="C145" s="29"/>
      <c r="D145" s="29">
        <v>600.1</v>
      </c>
      <c r="E145" s="29"/>
      <c r="F145" s="37" t="s">
        <v>41</v>
      </c>
      <c r="G145" s="38">
        <f>SUM(G146 +G149  )</f>
        <v>52951</v>
      </c>
      <c r="H145" s="38">
        <f>SUM(H146 +H149  )</f>
        <v>19092</v>
      </c>
      <c r="I145" s="38">
        <f>SUM(I146 +I149  )</f>
        <v>17234221</v>
      </c>
      <c r="J145" s="2" t="s">
        <v>56</v>
      </c>
      <c r="K145" s="2" t="s">
        <v>55</v>
      </c>
      <c r="L145" s="3" t="s">
        <v>57</v>
      </c>
    </row>
    <row r="146" spans="1:15" ht="19.5" customHeight="1">
      <c r="A146" s="28"/>
      <c r="B146" s="29"/>
      <c r="C146" s="29"/>
      <c r="D146" s="29"/>
      <c r="E146" s="39">
        <v>600</v>
      </c>
      <c r="F146" s="31" t="s">
        <v>20</v>
      </c>
      <c r="G146" s="38">
        <f>SUM(G147:G148)</f>
        <v>46849</v>
      </c>
      <c r="H146" s="38">
        <f>SUM(H147:H148)</f>
        <v>15640</v>
      </c>
      <c r="I146" s="49">
        <f>SUM(I147:I148)</f>
        <v>14254014</v>
      </c>
      <c r="J146" s="1">
        <v>56049</v>
      </c>
      <c r="K146" s="1">
        <v>-9200</v>
      </c>
      <c r="L146" s="3">
        <f>SUM(J146:K146)</f>
        <v>46849</v>
      </c>
    </row>
    <row r="147" spans="1:15" ht="19.5" customHeight="1">
      <c r="A147" s="28"/>
      <c r="B147" s="29"/>
      <c r="C147" s="29"/>
      <c r="D147" s="29"/>
      <c r="E147" s="39"/>
      <c r="F147" s="33" t="s">
        <v>20</v>
      </c>
      <c r="G147" s="38">
        <v>44619</v>
      </c>
      <c r="H147" s="38">
        <v>14895</v>
      </c>
      <c r="I147" s="40">
        <v>14254014</v>
      </c>
      <c r="J147" s="53">
        <v>53380</v>
      </c>
      <c r="K147" s="1">
        <v>-8761</v>
      </c>
      <c r="L147" s="54">
        <f>SUM(J147:K147)</f>
        <v>44619</v>
      </c>
      <c r="M147" s="1" t="s">
        <v>61</v>
      </c>
    </row>
    <row r="148" spans="1:15" ht="19.5" customHeight="1">
      <c r="A148" s="28"/>
      <c r="B148" s="29"/>
      <c r="C148" s="29"/>
      <c r="D148" s="29"/>
      <c r="E148" s="39"/>
      <c r="F148" s="33" t="s">
        <v>21</v>
      </c>
      <c r="G148" s="38">
        <v>2230</v>
      </c>
      <c r="H148" s="38">
        <v>745</v>
      </c>
      <c r="I148" s="40">
        <v>0</v>
      </c>
      <c r="J148" s="53">
        <v>2669</v>
      </c>
      <c r="K148" s="1">
        <v>-439</v>
      </c>
      <c r="L148" s="54">
        <f>SUM(J148:K148)</f>
        <v>2230</v>
      </c>
      <c r="M148">
        <v>-795</v>
      </c>
      <c r="N148" s="62">
        <f>SUM(L148:M148)</f>
        <v>1435</v>
      </c>
    </row>
    <row r="149" spans="1:15" ht="19.5" customHeight="1">
      <c r="A149" s="28"/>
      <c r="B149" s="29"/>
      <c r="C149" s="29"/>
      <c r="D149" s="29">
        <v>601</v>
      </c>
      <c r="E149" s="29"/>
      <c r="F149" s="31" t="s">
        <v>22</v>
      </c>
      <c r="G149" s="38">
        <v>6102</v>
      </c>
      <c r="H149" s="38">
        <v>3452</v>
      </c>
      <c r="I149" s="47">
        <v>2980207</v>
      </c>
      <c r="J149" s="1">
        <v>9012</v>
      </c>
      <c r="K149" s="1">
        <v>-2910</v>
      </c>
      <c r="L149" s="3">
        <f>SUM(J149:K149)</f>
        <v>6102</v>
      </c>
    </row>
    <row r="150" spans="1:15" ht="19.5" customHeight="1">
      <c r="A150" s="28"/>
      <c r="B150" s="29"/>
      <c r="C150" s="29"/>
      <c r="D150" s="29"/>
      <c r="E150" s="29"/>
      <c r="F150" s="31"/>
      <c r="G150" s="38"/>
      <c r="H150" s="38"/>
      <c r="I150" s="41"/>
    </row>
    <row r="151" spans="1:15" ht="19.5" customHeight="1">
      <c r="A151" s="28"/>
      <c r="B151" s="29"/>
      <c r="C151" s="29"/>
      <c r="D151" s="29">
        <v>602</v>
      </c>
      <c r="E151" s="29"/>
      <c r="F151" s="42" t="s">
        <v>29</v>
      </c>
      <c r="G151" s="34">
        <v>19480</v>
      </c>
      <c r="H151" s="34">
        <v>8602</v>
      </c>
      <c r="I151" s="34">
        <f>SUM(I152:I159)</f>
        <v>5838950</v>
      </c>
      <c r="J151" s="55">
        <v>20080</v>
      </c>
      <c r="K151" s="56">
        <v>-1600</v>
      </c>
      <c r="L151" s="55">
        <f>SUM(J151:K151)</f>
        <v>18480</v>
      </c>
      <c r="M151" s="64">
        <v>1000</v>
      </c>
      <c r="N151">
        <f>SUM(L151:M151)</f>
        <v>19480</v>
      </c>
    </row>
    <row r="152" spans="1:15" ht="19.5" customHeight="1">
      <c r="A152" s="28"/>
      <c r="B152" s="29"/>
      <c r="C152" s="29"/>
      <c r="D152" s="29"/>
      <c r="E152" s="43">
        <v>602</v>
      </c>
      <c r="F152" s="33" t="s">
        <v>31</v>
      </c>
      <c r="G152" s="38"/>
      <c r="H152" s="38"/>
      <c r="I152" s="40">
        <v>416317</v>
      </c>
    </row>
    <row r="153" spans="1:15" ht="15" customHeight="1">
      <c r="A153" s="28"/>
      <c r="B153" s="29"/>
      <c r="C153" s="29"/>
      <c r="D153" s="29"/>
      <c r="E153" s="43">
        <v>602.20000000000005</v>
      </c>
      <c r="F153" s="33" t="s">
        <v>32</v>
      </c>
      <c r="G153" s="38"/>
      <c r="H153" s="38"/>
      <c r="I153" s="40">
        <v>1207247</v>
      </c>
    </row>
    <row r="154" spans="1:15" ht="17.25" customHeight="1">
      <c r="A154" s="28"/>
      <c r="B154" s="29"/>
      <c r="C154" s="29"/>
      <c r="D154" s="29"/>
      <c r="E154" s="43" t="s">
        <v>33</v>
      </c>
      <c r="F154" s="33" t="s">
        <v>34</v>
      </c>
      <c r="G154" s="38"/>
      <c r="H154" s="38"/>
      <c r="I154" s="40">
        <v>120754</v>
      </c>
      <c r="O154" s="63">
        <f>SUM(H147:H148)</f>
        <v>15640</v>
      </c>
    </row>
    <row r="155" spans="1:15" ht="16.5" customHeight="1">
      <c r="A155" s="28"/>
      <c r="B155" s="29"/>
      <c r="C155" s="29"/>
      <c r="D155" s="29"/>
      <c r="E155" s="43">
        <v>602.4</v>
      </c>
      <c r="F155" s="33" t="s">
        <v>35</v>
      </c>
      <c r="G155" s="38"/>
      <c r="H155" s="38"/>
      <c r="I155" s="40">
        <v>2557783</v>
      </c>
    </row>
    <row r="156" spans="1:15" ht="15.75" customHeight="1">
      <c r="A156" s="28"/>
      <c r="B156" s="29"/>
      <c r="C156" s="29"/>
      <c r="D156" s="29"/>
      <c r="E156" s="43">
        <v>602.5</v>
      </c>
      <c r="F156" s="33" t="s">
        <v>36</v>
      </c>
      <c r="G156" s="38"/>
      <c r="H156" s="38"/>
      <c r="I156" s="40">
        <v>628440</v>
      </c>
    </row>
    <row r="157" spans="1:15" ht="16.5" customHeight="1">
      <c r="A157" s="28"/>
      <c r="B157" s="29"/>
      <c r="C157" s="29"/>
      <c r="D157" s="29"/>
      <c r="E157" s="43">
        <v>602.6</v>
      </c>
      <c r="F157" s="33" t="s">
        <v>37</v>
      </c>
      <c r="G157" s="38"/>
      <c r="H157" s="38"/>
      <c r="I157" s="40">
        <v>53125</v>
      </c>
    </row>
    <row r="158" spans="1:15">
      <c r="A158" s="28"/>
      <c r="B158" s="29"/>
      <c r="C158" s="29"/>
      <c r="D158" s="29"/>
      <c r="E158" s="43">
        <v>602.70000000000005</v>
      </c>
      <c r="F158" s="33" t="s">
        <v>38</v>
      </c>
      <c r="G158" s="38"/>
      <c r="H158" s="38"/>
      <c r="I158" s="40">
        <v>0</v>
      </c>
    </row>
    <row r="159" spans="1:15">
      <c r="A159" s="28"/>
      <c r="B159" s="29"/>
      <c r="C159" s="29"/>
      <c r="D159" s="29"/>
      <c r="E159" s="43">
        <v>602.9</v>
      </c>
      <c r="F159" s="33" t="s">
        <v>39</v>
      </c>
      <c r="G159" s="38"/>
      <c r="H159" s="38"/>
      <c r="I159" s="40">
        <v>855284</v>
      </c>
      <c r="J159" s="63"/>
      <c r="K159" s="63">
        <f>SUM(K160:K161)</f>
        <v>873948</v>
      </c>
      <c r="M159" s="63">
        <f>SUM(M160:M161)</f>
        <v>990284</v>
      </c>
    </row>
    <row r="160" spans="1:15" ht="15.75" customHeight="1">
      <c r="A160" s="28"/>
      <c r="B160" s="29"/>
      <c r="C160" s="29"/>
      <c r="D160" s="29"/>
      <c r="E160" s="43"/>
      <c r="F160" s="33" t="s">
        <v>50</v>
      </c>
      <c r="G160" s="38"/>
      <c r="H160" s="38"/>
      <c r="I160" s="40">
        <v>563784</v>
      </c>
      <c r="J160" s="63">
        <v>10164</v>
      </c>
      <c r="K160" s="63">
        <f>SUM(I160:J160)</f>
        <v>573948</v>
      </c>
      <c r="L160">
        <v>116336</v>
      </c>
      <c r="M160" s="63">
        <f>SUM(K160:L160)</f>
        <v>690284</v>
      </c>
    </row>
    <row r="161" spans="1:13" ht="15.75" customHeight="1">
      <c r="A161" s="28"/>
      <c r="B161" s="29"/>
      <c r="C161" s="29"/>
      <c r="D161" s="29"/>
      <c r="E161" s="43"/>
      <c r="F161" s="33" t="s">
        <v>40</v>
      </c>
      <c r="G161" s="38"/>
      <c r="H161" s="38"/>
      <c r="I161" s="40">
        <v>285000</v>
      </c>
      <c r="J161" s="63">
        <v>15000</v>
      </c>
      <c r="K161" s="63">
        <f>SUM(I161:J161)</f>
        <v>300000</v>
      </c>
      <c r="M161">
        <v>300000</v>
      </c>
    </row>
    <row r="162" spans="1:13" ht="15" customHeight="1">
      <c r="A162" s="28"/>
      <c r="B162" s="29"/>
      <c r="C162" s="29"/>
      <c r="D162" s="30">
        <v>604</v>
      </c>
      <c r="E162" s="44"/>
      <c r="F162" s="37" t="s">
        <v>42</v>
      </c>
      <c r="G162" s="38"/>
      <c r="H162" s="38"/>
      <c r="I162" s="38">
        <v>0</v>
      </c>
    </row>
    <row r="163" spans="1:13" ht="15.75" customHeight="1">
      <c r="A163" s="28"/>
      <c r="B163" s="29">
        <v>15</v>
      </c>
      <c r="C163" s="29"/>
      <c r="D163" s="29">
        <v>231</v>
      </c>
      <c r="E163" s="30" t="s">
        <v>23</v>
      </c>
      <c r="F163" s="37" t="s">
        <v>24</v>
      </c>
      <c r="G163" s="34">
        <f>SUM(G164 )</f>
        <v>0</v>
      </c>
      <c r="H163" s="34"/>
      <c r="I163" s="34">
        <f>SUM(I164 )</f>
        <v>0</v>
      </c>
    </row>
    <row r="164" spans="1:13" ht="15.75" customHeight="1">
      <c r="A164" s="28"/>
      <c r="B164" s="29"/>
      <c r="C164" s="29"/>
      <c r="D164" s="29">
        <v>231</v>
      </c>
      <c r="E164" s="29"/>
      <c r="F164" s="33" t="s">
        <v>46</v>
      </c>
      <c r="G164" s="45"/>
      <c r="H164" s="45"/>
      <c r="I164" s="40"/>
    </row>
    <row r="165" spans="1:13" ht="15.75" customHeight="1">
      <c r="A165" s="33"/>
      <c r="B165" s="33"/>
      <c r="C165" s="33"/>
      <c r="D165" s="30"/>
      <c r="E165" s="37"/>
      <c r="F165" s="37"/>
      <c r="G165" s="38"/>
      <c r="H165" s="37"/>
      <c r="I165" s="38">
        <v>0</v>
      </c>
    </row>
    <row r="166" spans="1:13" ht="16.5" customHeight="1">
      <c r="A166" s="46" t="s">
        <v>45</v>
      </c>
      <c r="B166" s="13"/>
      <c r="C166" s="13"/>
      <c r="D166" s="13"/>
      <c r="E166" s="13"/>
      <c r="F166" s="46" t="s">
        <v>43</v>
      </c>
      <c r="G166" s="13"/>
      <c r="H166" s="13"/>
      <c r="I166" s="12"/>
    </row>
    <row r="167" spans="1:13" ht="17.25" customHeight="1">
      <c r="A167" s="9" t="s">
        <v>30</v>
      </c>
      <c r="B167" s="9" t="s">
        <v>28</v>
      </c>
      <c r="C167" s="10"/>
      <c r="D167" s="12"/>
      <c r="E167" s="12"/>
      <c r="F167" s="46" t="s">
        <v>44</v>
      </c>
      <c r="G167" s="13"/>
      <c r="H167" s="13"/>
      <c r="I167" s="12"/>
    </row>
    <row r="168" spans="1:13">
      <c r="A168" s="12"/>
      <c r="B168" s="12"/>
      <c r="C168" s="12"/>
      <c r="D168" s="12"/>
      <c r="E168" s="12"/>
      <c r="F168" s="12"/>
      <c r="G168" s="12"/>
      <c r="H168" s="12"/>
      <c r="I168" s="12"/>
    </row>
    <row r="169" spans="1:13">
      <c r="A169" s="4"/>
    </row>
    <row r="170" spans="1:13" ht="17.25" customHeight="1">
      <c r="A170" s="9" t="s">
        <v>0</v>
      </c>
      <c r="B170" s="9"/>
      <c r="C170" s="9"/>
      <c r="D170" s="9"/>
      <c r="E170" s="9"/>
      <c r="F170" s="9"/>
      <c r="G170" s="9"/>
      <c r="H170" s="9"/>
      <c r="I170" s="9"/>
    </row>
    <row r="171" spans="1:13" ht="13.5" customHeight="1">
      <c r="A171" s="9" t="s">
        <v>1</v>
      </c>
      <c r="B171" s="9"/>
      <c r="C171" s="9"/>
      <c r="D171" s="9"/>
      <c r="E171" s="9"/>
      <c r="F171" s="9"/>
      <c r="G171" s="10"/>
      <c r="H171" s="10"/>
      <c r="I171" s="10"/>
    </row>
    <row r="172" spans="1:13" ht="14.25" customHeight="1">
      <c r="A172" s="9" t="s">
        <v>27</v>
      </c>
      <c r="B172" s="9"/>
      <c r="C172" s="9"/>
      <c r="D172" s="9"/>
      <c r="E172" s="9"/>
      <c r="F172" s="9"/>
      <c r="G172" s="9"/>
      <c r="H172" s="9"/>
      <c r="I172" s="9"/>
    </row>
    <row r="173" spans="1:13" ht="13.5">
      <c r="A173" s="11" t="s">
        <v>2</v>
      </c>
      <c r="B173" s="11"/>
      <c r="C173" s="11"/>
      <c r="D173" s="11"/>
      <c r="E173" s="11"/>
      <c r="F173" s="9"/>
      <c r="G173" s="10"/>
      <c r="H173" s="10"/>
      <c r="I173" s="10"/>
    </row>
    <row r="174" spans="1:13" ht="12.75" customHeight="1">
      <c r="A174" s="9"/>
      <c r="B174" s="9"/>
      <c r="C174" s="9"/>
      <c r="D174" s="9"/>
      <c r="E174" s="9"/>
      <c r="F174" s="9"/>
      <c r="G174" s="10"/>
      <c r="H174" s="10"/>
      <c r="I174" s="9"/>
    </row>
    <row r="175" spans="1:13" ht="15.75" customHeight="1">
      <c r="A175" s="52" t="s">
        <v>63</v>
      </c>
      <c r="B175" s="50"/>
      <c r="C175" s="51"/>
      <c r="D175" s="51"/>
      <c r="E175" s="51"/>
      <c r="F175" s="51"/>
      <c r="G175" s="51"/>
      <c r="H175" s="51"/>
      <c r="I175" s="11"/>
    </row>
    <row r="176" spans="1:13" ht="19.5" customHeight="1">
      <c r="A176" s="14"/>
      <c r="B176" s="14"/>
      <c r="C176" s="14"/>
      <c r="D176" s="14"/>
      <c r="E176" s="14"/>
      <c r="F176" s="14"/>
      <c r="G176" s="14"/>
      <c r="H176" s="14"/>
      <c r="I176" s="14"/>
    </row>
    <row r="177" spans="1:15" ht="19.5" customHeight="1">
      <c r="A177" s="15" t="s">
        <v>3</v>
      </c>
      <c r="B177" s="16" t="s">
        <v>4</v>
      </c>
      <c r="C177" s="17" t="s">
        <v>5</v>
      </c>
      <c r="D177" s="18" t="s">
        <v>6</v>
      </c>
      <c r="E177" s="18" t="s">
        <v>7</v>
      </c>
      <c r="F177" s="15" t="s">
        <v>8</v>
      </c>
      <c r="G177" s="19" t="s">
        <v>25</v>
      </c>
      <c r="H177" s="19" t="s">
        <v>25</v>
      </c>
      <c r="I177" s="20" t="s">
        <v>48</v>
      </c>
    </row>
    <row r="178" spans="1:15" ht="19.5" customHeight="1">
      <c r="A178" s="21"/>
      <c r="B178" s="22"/>
      <c r="C178" s="23"/>
      <c r="D178" s="24"/>
      <c r="E178" s="25"/>
      <c r="F178" s="21"/>
      <c r="G178" s="26" t="s">
        <v>49</v>
      </c>
      <c r="H178" s="26" t="s">
        <v>64</v>
      </c>
      <c r="I178" s="27" t="s">
        <v>47</v>
      </c>
    </row>
    <row r="179" spans="1:15" ht="19.5" customHeight="1">
      <c r="A179" s="28"/>
      <c r="B179" s="29"/>
      <c r="C179" s="29"/>
      <c r="D179" s="29"/>
      <c r="E179" s="30" t="s">
        <v>9</v>
      </c>
      <c r="F179" s="31" t="s">
        <v>10</v>
      </c>
      <c r="G179" s="29" t="s">
        <v>11</v>
      </c>
      <c r="H179" s="29"/>
      <c r="I179" s="32"/>
    </row>
    <row r="180" spans="1:15" ht="19.5" customHeight="1">
      <c r="A180" s="28"/>
      <c r="B180" s="29"/>
      <c r="C180" s="29"/>
      <c r="D180" s="29"/>
      <c r="E180" s="29">
        <v>1</v>
      </c>
      <c r="F180" s="33" t="s">
        <v>12</v>
      </c>
      <c r="G180" s="29"/>
      <c r="H180" s="29"/>
      <c r="I180" s="33"/>
    </row>
    <row r="181" spans="1:15" ht="19.5" customHeight="1">
      <c r="A181" s="28"/>
      <c r="B181" s="29"/>
      <c r="C181" s="29"/>
      <c r="D181" s="29"/>
      <c r="E181" s="29">
        <v>2</v>
      </c>
      <c r="F181" s="33" t="s">
        <v>13</v>
      </c>
      <c r="G181" s="29"/>
      <c r="H181" s="29"/>
      <c r="I181" s="33"/>
    </row>
    <row r="182" spans="1:15" ht="19.5" customHeight="1">
      <c r="A182" s="28"/>
      <c r="B182" s="29"/>
      <c r="C182" s="29"/>
      <c r="D182" s="29"/>
      <c r="E182" s="29">
        <v>3</v>
      </c>
      <c r="F182" s="33" t="s">
        <v>14</v>
      </c>
      <c r="G182" s="29"/>
      <c r="H182" s="29"/>
      <c r="I182" s="33"/>
    </row>
    <row r="183" spans="1:15" ht="19.5" customHeight="1">
      <c r="A183" s="28"/>
      <c r="B183" s="29"/>
      <c r="C183" s="29"/>
      <c r="D183" s="29"/>
      <c r="E183" s="29">
        <v>4</v>
      </c>
      <c r="F183" s="33" t="s">
        <v>15</v>
      </c>
      <c r="G183" s="28"/>
      <c r="H183" s="28"/>
      <c r="I183" s="33"/>
      <c r="M183">
        <v>1450</v>
      </c>
    </row>
    <row r="184" spans="1:15" ht="19.5" customHeight="1">
      <c r="A184" s="28"/>
      <c r="B184" s="29"/>
      <c r="C184" s="29"/>
      <c r="D184" s="29"/>
      <c r="E184" s="30" t="s">
        <v>16</v>
      </c>
      <c r="F184" s="31" t="s">
        <v>17</v>
      </c>
      <c r="G184" s="34">
        <f>G186 +G205</f>
        <v>72431</v>
      </c>
      <c r="H184" s="34">
        <f>H186 +H205</f>
        <v>33852</v>
      </c>
      <c r="I184" s="34">
        <f>I186 +I205</f>
        <v>30649631</v>
      </c>
      <c r="M184">
        <v>7750</v>
      </c>
    </row>
    <row r="185" spans="1:15" ht="19.5" customHeight="1">
      <c r="A185" s="35">
        <v>25</v>
      </c>
      <c r="B185" s="36" t="s">
        <v>26</v>
      </c>
      <c r="C185" s="29"/>
      <c r="D185" s="29"/>
      <c r="E185" s="29"/>
      <c r="F185" s="33" t="s">
        <v>18</v>
      </c>
      <c r="G185" s="32"/>
      <c r="H185" s="32"/>
      <c r="I185" s="29"/>
      <c r="M185">
        <f>SUM(M183:M184)</f>
        <v>9200</v>
      </c>
    </row>
    <row r="186" spans="1:15" ht="19.5" customHeight="1">
      <c r="A186" s="28"/>
      <c r="B186" s="29"/>
      <c r="C186" s="29">
        <v>1</v>
      </c>
      <c r="D186" s="29"/>
      <c r="E186" s="29"/>
      <c r="F186" s="37" t="s">
        <v>19</v>
      </c>
      <c r="G186" s="38">
        <f>SUM(G187 +G193+G204  )</f>
        <v>72431</v>
      </c>
      <c r="H186" s="38">
        <f>SUM(H187 +H193+H204  )</f>
        <v>33852</v>
      </c>
      <c r="I186" s="38">
        <f>SUM(I187 +I193+I204  )</f>
        <v>30649631</v>
      </c>
      <c r="K186">
        <f>SUM(K189:K190)</f>
        <v>-9200</v>
      </c>
      <c r="L186" s="62">
        <f>SUM(L189:L190)</f>
        <v>46849</v>
      </c>
    </row>
    <row r="187" spans="1:15" ht="19.5" customHeight="1">
      <c r="A187" s="28"/>
      <c r="B187" s="29"/>
      <c r="C187" s="29"/>
      <c r="D187" s="29">
        <v>600.1</v>
      </c>
      <c r="E187" s="29"/>
      <c r="F187" s="37" t="s">
        <v>41</v>
      </c>
      <c r="G187" s="38">
        <f>SUM(G188 +G191  )</f>
        <v>52951</v>
      </c>
      <c r="H187" s="38">
        <f>SUM(H188 +H191  )</f>
        <v>23532</v>
      </c>
      <c r="I187" s="38">
        <f>SUM(I188 +I191  )</f>
        <v>20615747</v>
      </c>
      <c r="J187" s="111" t="s">
        <v>56</v>
      </c>
      <c r="K187" s="2" t="s">
        <v>55</v>
      </c>
      <c r="L187" s="3" t="s">
        <v>57</v>
      </c>
    </row>
    <row r="188" spans="1:15" ht="19.5" customHeight="1">
      <c r="A188" s="28"/>
      <c r="B188" s="29"/>
      <c r="C188" s="29"/>
      <c r="D188" s="29"/>
      <c r="E188" s="39">
        <v>600</v>
      </c>
      <c r="F188" s="31" t="s">
        <v>20</v>
      </c>
      <c r="G188" s="38">
        <f>SUM(G189:G190)</f>
        <v>46849</v>
      </c>
      <c r="H188" s="38">
        <f>SUM(H189:H190)</f>
        <v>19932</v>
      </c>
      <c r="I188" s="49">
        <f>SUM(I189:I190)</f>
        <v>17058208</v>
      </c>
      <c r="J188" s="112">
        <v>56042</v>
      </c>
      <c r="K188" s="1">
        <v>-9200</v>
      </c>
      <c r="L188" s="3">
        <f>SUM(J188:K188)</f>
        <v>46842</v>
      </c>
      <c r="O188" s="63">
        <f>H188*1000-I188</f>
        <v>2873792</v>
      </c>
    </row>
    <row r="189" spans="1:15" ht="19.5" customHeight="1">
      <c r="A189" s="28"/>
      <c r="B189" s="29"/>
      <c r="C189" s="29"/>
      <c r="D189" s="29"/>
      <c r="E189" s="39"/>
      <c r="F189" s="33" t="s">
        <v>20</v>
      </c>
      <c r="G189" s="38">
        <v>44619</v>
      </c>
      <c r="H189" s="38">
        <v>19142</v>
      </c>
      <c r="I189" s="40">
        <v>17058208</v>
      </c>
      <c r="J189" s="113">
        <v>53380</v>
      </c>
      <c r="K189" s="1">
        <v>-8761</v>
      </c>
      <c r="L189" s="54">
        <f>SUM(J189:K189)</f>
        <v>44619</v>
      </c>
      <c r="M189" s="1" t="s">
        <v>61</v>
      </c>
    </row>
    <row r="190" spans="1:15" ht="19.5" customHeight="1">
      <c r="A190" s="28"/>
      <c r="B190" s="29"/>
      <c r="C190" s="29"/>
      <c r="D190" s="29"/>
      <c r="E190" s="39"/>
      <c r="F190" s="33" t="s">
        <v>21</v>
      </c>
      <c r="G190" s="38">
        <v>2230</v>
      </c>
      <c r="H190" s="38">
        <v>790</v>
      </c>
      <c r="I190" s="40">
        <v>0</v>
      </c>
      <c r="J190" s="113">
        <v>2669</v>
      </c>
      <c r="K190" s="1">
        <v>-439</v>
      </c>
      <c r="L190" s="54">
        <f>SUM(J190:K190)</f>
        <v>2230</v>
      </c>
      <c r="M190">
        <v>-795</v>
      </c>
      <c r="N190" s="62">
        <f>SUM(L190:M190)</f>
        <v>1435</v>
      </c>
    </row>
    <row r="191" spans="1:15" ht="19.5" customHeight="1">
      <c r="A191" s="28"/>
      <c r="B191" s="29"/>
      <c r="C191" s="29"/>
      <c r="D191" s="29">
        <v>601</v>
      </c>
      <c r="E191" s="29"/>
      <c r="F191" s="31" t="s">
        <v>22</v>
      </c>
      <c r="G191" s="38">
        <v>6102</v>
      </c>
      <c r="H191" s="38">
        <v>3600</v>
      </c>
      <c r="I191" s="47">
        <v>3557539</v>
      </c>
      <c r="J191" s="112">
        <v>9012</v>
      </c>
      <c r="K191" s="1">
        <v>-2910</v>
      </c>
      <c r="L191" s="3">
        <f>SUM(J191:K191)</f>
        <v>6102</v>
      </c>
      <c r="O191" s="63">
        <f>H191*1000-I191</f>
        <v>42461</v>
      </c>
    </row>
    <row r="192" spans="1:15" ht="19.5" customHeight="1">
      <c r="A192" s="28"/>
      <c r="B192" s="29"/>
      <c r="C192" s="29"/>
      <c r="D192" s="29"/>
      <c r="E192" s="29"/>
      <c r="F192" s="31"/>
      <c r="G192" s="38"/>
      <c r="H192" s="38"/>
      <c r="I192" s="41"/>
      <c r="O192" s="63">
        <f>SUM(O188:O191)</f>
        <v>2916253</v>
      </c>
    </row>
    <row r="193" spans="1:15" ht="19.5" customHeight="1">
      <c r="A193" s="28"/>
      <c r="B193" s="29"/>
      <c r="C193" s="29"/>
      <c r="D193" s="29">
        <v>602</v>
      </c>
      <c r="E193" s="29"/>
      <c r="F193" s="42" t="s">
        <v>29</v>
      </c>
      <c r="G193" s="34">
        <v>19480</v>
      </c>
      <c r="H193" s="34">
        <v>10320</v>
      </c>
      <c r="I193" s="34">
        <f>SUM(I194:I201)</f>
        <v>10033884</v>
      </c>
      <c r="J193" s="114">
        <v>20080</v>
      </c>
      <c r="K193" s="56">
        <v>-1600</v>
      </c>
      <c r="L193" s="55">
        <f>SUM(J193:K193)</f>
        <v>18480</v>
      </c>
      <c r="M193" s="64">
        <v>1000</v>
      </c>
      <c r="N193">
        <f>SUM(L193:M193)</f>
        <v>19480</v>
      </c>
    </row>
    <row r="194" spans="1:15" ht="19.5" customHeight="1">
      <c r="A194" s="28"/>
      <c r="B194" s="29"/>
      <c r="C194" s="29"/>
      <c r="D194" s="29"/>
      <c r="E194" s="43">
        <v>602</v>
      </c>
      <c r="F194" s="33" t="s">
        <v>31</v>
      </c>
      <c r="G194" s="38"/>
      <c r="H194" s="38"/>
      <c r="I194" s="40">
        <v>416317</v>
      </c>
    </row>
    <row r="195" spans="1:15" ht="15" customHeight="1" thickBot="1">
      <c r="A195" s="28"/>
      <c r="B195" s="29"/>
      <c r="C195" s="29"/>
      <c r="D195" s="29"/>
      <c r="E195" s="43">
        <v>602.20000000000005</v>
      </c>
      <c r="F195" s="33" t="s">
        <v>32</v>
      </c>
      <c r="G195" s="38"/>
      <c r="H195" s="38"/>
      <c r="I195" s="40">
        <v>1422425</v>
      </c>
      <c r="J195">
        <v>18480</v>
      </c>
      <c r="K195" t="s">
        <v>65</v>
      </c>
    </row>
    <row r="196" spans="1:15" ht="17.25" customHeight="1" thickBot="1">
      <c r="A196" s="28"/>
      <c r="B196" s="29"/>
      <c r="C196" s="29"/>
      <c r="D196" s="29"/>
      <c r="E196" s="43" t="s">
        <v>33</v>
      </c>
      <c r="F196" s="33" t="s">
        <v>34</v>
      </c>
      <c r="G196" s="38"/>
      <c r="H196" s="38"/>
      <c r="I196" s="40">
        <v>2274858</v>
      </c>
      <c r="J196">
        <v>602</v>
      </c>
      <c r="M196" s="109" t="s">
        <v>90</v>
      </c>
      <c r="N196" s="95"/>
      <c r="O196" s="63">
        <f>SUM(H189:H190)</f>
        <v>19932</v>
      </c>
    </row>
    <row r="197" spans="1:15" ht="16.5" customHeight="1">
      <c r="A197" s="28"/>
      <c r="B197" s="29"/>
      <c r="C197" s="29"/>
      <c r="D197" s="29"/>
      <c r="E197" s="43">
        <v>602.4</v>
      </c>
      <c r="F197" s="33" t="s">
        <v>35</v>
      </c>
      <c r="G197" s="38"/>
      <c r="H197" s="38"/>
      <c r="I197" s="40">
        <v>3163411</v>
      </c>
      <c r="J197" s="94">
        <v>10152</v>
      </c>
      <c r="K197" s="95"/>
      <c r="M197" s="101">
        <v>402</v>
      </c>
      <c r="N197" s="97"/>
    </row>
    <row r="198" spans="1:15" ht="15.75" customHeight="1">
      <c r="A198" s="28"/>
      <c r="B198" s="29"/>
      <c r="C198" s="29"/>
      <c r="D198" s="29"/>
      <c r="E198" s="43">
        <v>602.5</v>
      </c>
      <c r="F198" s="33" t="s">
        <v>36</v>
      </c>
      <c r="G198" s="38"/>
      <c r="H198" s="38"/>
      <c r="I198" s="40">
        <v>781340</v>
      </c>
      <c r="J198" s="5">
        <v>168</v>
      </c>
      <c r="K198" s="97" t="s">
        <v>89</v>
      </c>
      <c r="M198" s="101">
        <v>-168</v>
      </c>
      <c r="N198" s="97"/>
    </row>
    <row r="199" spans="1:15" ht="16.5" customHeight="1" thickBot="1">
      <c r="A199" s="28"/>
      <c r="B199" s="29"/>
      <c r="C199" s="29"/>
      <c r="D199" s="29"/>
      <c r="E199" s="43">
        <v>602.6</v>
      </c>
      <c r="F199" s="33" t="s">
        <v>37</v>
      </c>
      <c r="G199" s="38"/>
      <c r="H199" s="38"/>
      <c r="I199" s="40">
        <v>53125</v>
      </c>
      <c r="J199" s="115">
        <f>SUM(J197:J198)</f>
        <v>10320</v>
      </c>
      <c r="K199" s="100"/>
      <c r="M199" s="110">
        <f>SUM(M197:M198)</f>
        <v>234</v>
      </c>
      <c r="N199" s="100"/>
    </row>
    <row r="200" spans="1:15">
      <c r="A200" s="28"/>
      <c r="B200" s="29"/>
      <c r="C200" s="29"/>
      <c r="D200" s="29"/>
      <c r="E200" s="43">
        <v>602.70000000000005</v>
      </c>
      <c r="F200" s="33" t="s">
        <v>38</v>
      </c>
      <c r="G200" s="38"/>
      <c r="H200" s="38"/>
      <c r="I200" s="40">
        <v>757624</v>
      </c>
    </row>
    <row r="201" spans="1:15">
      <c r="A201" s="28"/>
      <c r="B201" s="29"/>
      <c r="C201" s="29"/>
      <c r="D201" s="29"/>
      <c r="E201" s="43">
        <v>602.9</v>
      </c>
      <c r="F201" s="33" t="s">
        <v>39</v>
      </c>
      <c r="G201" s="38"/>
      <c r="H201" s="38"/>
      <c r="I201" s="40">
        <v>1164784</v>
      </c>
      <c r="J201">
        <v>1164784</v>
      </c>
    </row>
    <row r="202" spans="1:15" ht="15.75" customHeight="1">
      <c r="A202" s="28"/>
      <c r="B202" s="29"/>
      <c r="C202" s="29"/>
      <c r="D202" s="29"/>
      <c r="E202" s="43"/>
      <c r="F202" s="33" t="s">
        <v>50</v>
      </c>
      <c r="G202" s="38"/>
      <c r="H202" s="38"/>
      <c r="I202" s="40">
        <v>690284</v>
      </c>
    </row>
    <row r="203" spans="1:15" ht="15.75" customHeight="1">
      <c r="A203" s="28"/>
      <c r="B203" s="29"/>
      <c r="C203" s="29"/>
      <c r="D203" s="29"/>
      <c r="E203" s="43"/>
      <c r="F203" s="33" t="s">
        <v>40</v>
      </c>
      <c r="G203" s="38"/>
      <c r="H203" s="38"/>
      <c r="I203" s="40">
        <v>300000</v>
      </c>
      <c r="J203" s="63">
        <f>-SUM(I202:I203)</f>
        <v>-990284</v>
      </c>
    </row>
    <row r="204" spans="1:15" ht="15" customHeight="1">
      <c r="A204" s="28"/>
      <c r="B204" s="29"/>
      <c r="C204" s="29"/>
      <c r="D204" s="30">
        <v>604</v>
      </c>
      <c r="E204" s="44"/>
      <c r="F204" s="37" t="s">
        <v>42</v>
      </c>
      <c r="G204" s="38"/>
      <c r="H204" s="38"/>
      <c r="I204" s="38">
        <v>0</v>
      </c>
      <c r="J204">
        <f>SUM(J201:J203)</f>
        <v>174500</v>
      </c>
    </row>
    <row r="205" spans="1:15" ht="15.75" customHeight="1">
      <c r="A205" s="28"/>
      <c r="B205" s="29">
        <v>15</v>
      </c>
      <c r="C205" s="29"/>
      <c r="D205" s="29">
        <v>231</v>
      </c>
      <c r="E205" s="30" t="s">
        <v>23</v>
      </c>
      <c r="F205" s="37" t="s">
        <v>24</v>
      </c>
      <c r="G205" s="34">
        <f>SUM(G206 )</f>
        <v>0</v>
      </c>
      <c r="H205" s="34"/>
      <c r="I205" s="34">
        <f>SUM(I206 )</f>
        <v>0</v>
      </c>
    </row>
    <row r="206" spans="1:15" ht="15.75" customHeight="1">
      <c r="A206" s="28"/>
      <c r="B206" s="29"/>
      <c r="C206" s="29"/>
      <c r="D206" s="29">
        <v>231</v>
      </c>
      <c r="E206" s="29"/>
      <c r="F206" s="33" t="s">
        <v>46</v>
      </c>
      <c r="G206" s="45"/>
      <c r="H206" s="45"/>
      <c r="I206" s="40"/>
    </row>
    <row r="207" spans="1:15" ht="15.75" customHeight="1">
      <c r="A207" s="33"/>
      <c r="B207" s="33"/>
      <c r="C207" s="33"/>
      <c r="D207" s="30"/>
      <c r="E207" s="37"/>
      <c r="F207" s="37"/>
      <c r="G207" s="38"/>
      <c r="H207" s="37"/>
      <c r="I207" s="38">
        <v>0</v>
      </c>
    </row>
    <row r="208" spans="1:15" ht="16.5" customHeight="1">
      <c r="A208" s="46" t="s">
        <v>45</v>
      </c>
      <c r="B208" s="13"/>
      <c r="C208" s="13"/>
      <c r="D208" s="13"/>
      <c r="E208" s="13"/>
      <c r="F208" s="46" t="s">
        <v>43</v>
      </c>
      <c r="G208" s="13"/>
      <c r="H208" s="13"/>
      <c r="I208" s="12"/>
    </row>
    <row r="209" spans="1:18" ht="17.25" customHeight="1">
      <c r="A209" s="9" t="s">
        <v>30</v>
      </c>
      <c r="B209" s="9" t="s">
        <v>28</v>
      </c>
      <c r="C209" s="10"/>
      <c r="D209" s="12"/>
      <c r="E209" s="12"/>
      <c r="F209" s="46" t="s">
        <v>44</v>
      </c>
      <c r="G209" s="13"/>
      <c r="H209" s="13"/>
      <c r="I209" s="12"/>
    </row>
    <row r="210" spans="1:18">
      <c r="A210" s="12"/>
      <c r="B210" s="12"/>
      <c r="C210" s="12"/>
      <c r="D210" s="12"/>
      <c r="E210" s="12"/>
      <c r="F210" s="12"/>
      <c r="G210" s="12"/>
      <c r="H210" s="12"/>
      <c r="I210" s="12"/>
    </row>
    <row r="211" spans="1:18">
      <c r="A211" s="4"/>
    </row>
    <row r="212" spans="1:18" ht="17.25" customHeight="1">
      <c r="A212" s="9" t="s">
        <v>0</v>
      </c>
      <c r="B212" s="9"/>
      <c r="C212" s="9"/>
      <c r="D212" s="9"/>
      <c r="E212" s="9"/>
      <c r="F212" s="9"/>
      <c r="G212" s="9"/>
      <c r="H212" s="9"/>
      <c r="I212" s="9"/>
    </row>
    <row r="213" spans="1:18" ht="13.5" customHeight="1">
      <c r="A213" s="9" t="s">
        <v>1</v>
      </c>
      <c r="B213" s="9"/>
      <c r="C213" s="9"/>
      <c r="D213" s="9"/>
      <c r="E213" s="9"/>
      <c r="F213" s="9"/>
      <c r="G213" s="10"/>
      <c r="H213" s="10"/>
      <c r="I213" s="10"/>
    </row>
    <row r="214" spans="1:18" ht="14.25" customHeight="1">
      <c r="A214" s="9" t="s">
        <v>27</v>
      </c>
      <c r="B214" s="9"/>
      <c r="C214" s="9"/>
      <c r="D214" s="9"/>
      <c r="E214" s="9"/>
      <c r="F214" s="9"/>
      <c r="G214" s="9"/>
      <c r="H214" s="9"/>
      <c r="I214" s="9"/>
    </row>
    <row r="215" spans="1:18" ht="13.5">
      <c r="A215" s="11" t="s">
        <v>2</v>
      </c>
      <c r="B215" s="11"/>
      <c r="C215" s="11"/>
      <c r="D215" s="11"/>
      <c r="E215" s="11"/>
      <c r="F215" s="9"/>
      <c r="G215" s="10"/>
      <c r="H215" s="10"/>
      <c r="I215" s="10"/>
    </row>
    <row r="216" spans="1:18" ht="12.75" customHeight="1">
      <c r="A216" s="9"/>
      <c r="B216" s="9"/>
      <c r="C216" s="9"/>
      <c r="D216" s="9"/>
      <c r="E216" s="9"/>
      <c r="F216" s="9"/>
      <c r="G216" s="10"/>
      <c r="H216" s="10"/>
      <c r="I216" s="9"/>
    </row>
    <row r="217" spans="1:18" ht="15.75" customHeight="1">
      <c r="A217" s="52" t="s">
        <v>94</v>
      </c>
      <c r="B217" s="50"/>
      <c r="C217" s="51"/>
      <c r="D217" s="51"/>
      <c r="E217" s="51"/>
      <c r="F217" s="51"/>
      <c r="G217" s="51"/>
      <c r="H217" s="51"/>
      <c r="I217" s="11"/>
    </row>
    <row r="218" spans="1:18" ht="19.5" customHeight="1">
      <c r="A218" s="14"/>
      <c r="B218" s="14"/>
      <c r="C218" s="14"/>
      <c r="D218" s="14"/>
      <c r="E218" s="14"/>
      <c r="F218" s="14"/>
      <c r="G218" s="14"/>
      <c r="H218" s="14"/>
      <c r="I218" s="14"/>
    </row>
    <row r="219" spans="1:18" ht="19.5" customHeight="1">
      <c r="A219" s="15" t="s">
        <v>3</v>
      </c>
      <c r="B219" s="16" t="s">
        <v>4</v>
      </c>
      <c r="C219" s="17" t="s">
        <v>5</v>
      </c>
      <c r="D219" s="18" t="s">
        <v>6</v>
      </c>
      <c r="E219" s="18" t="s">
        <v>7</v>
      </c>
      <c r="F219" s="15" t="s">
        <v>8</v>
      </c>
      <c r="G219" s="19" t="s">
        <v>25</v>
      </c>
      <c r="H219" s="19" t="s">
        <v>25</v>
      </c>
      <c r="I219" s="20" t="s">
        <v>48</v>
      </c>
    </row>
    <row r="220" spans="1:18" ht="19.5" customHeight="1">
      <c r="A220" s="21"/>
      <c r="B220" s="22"/>
      <c r="C220" s="23"/>
      <c r="D220" s="24"/>
      <c r="E220" s="25"/>
      <c r="F220" s="21"/>
      <c r="G220" s="26" t="s">
        <v>49</v>
      </c>
      <c r="H220" s="26" t="s">
        <v>95</v>
      </c>
      <c r="I220" s="27" t="s">
        <v>47</v>
      </c>
    </row>
    <row r="221" spans="1:18" ht="19.5" customHeight="1">
      <c r="A221" s="28"/>
      <c r="B221" s="29"/>
      <c r="C221" s="29"/>
      <c r="D221" s="29"/>
      <c r="E221" s="30" t="s">
        <v>9</v>
      </c>
      <c r="F221" s="31" t="s">
        <v>10</v>
      </c>
      <c r="G221" s="29" t="s">
        <v>11</v>
      </c>
      <c r="H221" s="29"/>
      <c r="I221" s="32"/>
    </row>
    <row r="222" spans="1:18" ht="19.5" customHeight="1">
      <c r="A222" s="28"/>
      <c r="B222" s="29"/>
      <c r="C222" s="29"/>
      <c r="D222" s="29"/>
      <c r="E222" s="29">
        <v>1</v>
      </c>
      <c r="F222" s="33" t="s">
        <v>12</v>
      </c>
      <c r="G222" s="29"/>
      <c r="H222" s="29"/>
      <c r="I222" s="33"/>
      <c r="M222" s="123">
        <v>416317</v>
      </c>
    </row>
    <row r="223" spans="1:18" ht="19.5" customHeight="1">
      <c r="A223" s="28"/>
      <c r="B223" s="29"/>
      <c r="C223" s="29"/>
      <c r="D223" s="29"/>
      <c r="E223" s="29">
        <v>2</v>
      </c>
      <c r="F223" s="33" t="s">
        <v>13</v>
      </c>
      <c r="G223" s="29"/>
      <c r="H223" s="29"/>
      <c r="I223" s="33"/>
      <c r="J223" s="5"/>
      <c r="K223" s="5"/>
      <c r="L223" s="5"/>
      <c r="M223" s="124">
        <v>1830515</v>
      </c>
      <c r="N223" s="5"/>
      <c r="O223" s="5"/>
      <c r="P223" s="5"/>
      <c r="Q223" s="5"/>
      <c r="R223" s="5"/>
    </row>
    <row r="224" spans="1:18" ht="19.5" customHeight="1">
      <c r="A224" s="28"/>
      <c r="B224" s="29"/>
      <c r="C224" s="29"/>
      <c r="D224" s="29"/>
      <c r="E224" s="29">
        <v>3</v>
      </c>
      <c r="F224" s="33" t="s">
        <v>14</v>
      </c>
      <c r="G224" s="29"/>
      <c r="H224" s="29"/>
      <c r="I224" s="33"/>
      <c r="J224" s="5"/>
      <c r="K224" s="5"/>
      <c r="L224" s="5"/>
      <c r="M224" s="124">
        <v>2274858</v>
      </c>
      <c r="N224" s="5"/>
      <c r="O224" s="5"/>
      <c r="P224" s="5"/>
      <c r="Q224" s="5"/>
      <c r="R224" s="5"/>
    </row>
    <row r="225" spans="1:18" ht="19.5" customHeight="1">
      <c r="A225" s="28"/>
      <c r="B225" s="29"/>
      <c r="C225" s="29"/>
      <c r="D225" s="29"/>
      <c r="E225" s="29">
        <v>4</v>
      </c>
      <c r="F225" s="33" t="s">
        <v>15</v>
      </c>
      <c r="G225" s="28"/>
      <c r="H225" s="28"/>
      <c r="I225" s="33"/>
      <c r="J225" s="5"/>
      <c r="K225" s="5"/>
      <c r="L225" s="5"/>
      <c r="M225" s="124">
        <v>3609521</v>
      </c>
      <c r="N225" s="5"/>
      <c r="O225" s="5"/>
      <c r="P225" s="5"/>
      <c r="Q225" s="5"/>
      <c r="R225" s="5"/>
    </row>
    <row r="226" spans="1:18" ht="19.5" customHeight="1">
      <c r="A226" s="28"/>
      <c r="B226" s="29"/>
      <c r="C226" s="29"/>
      <c r="D226" s="29"/>
      <c r="E226" s="30" t="s">
        <v>16</v>
      </c>
      <c r="F226" s="31" t="s">
        <v>17</v>
      </c>
      <c r="G226" s="34">
        <f>G228 +G247</f>
        <v>72431</v>
      </c>
      <c r="H226" s="34">
        <f>H228 +H247</f>
        <v>41250</v>
      </c>
      <c r="I226" s="34">
        <f>I228 +I247</f>
        <v>32762511</v>
      </c>
      <c r="J226" s="125">
        <f>J228 +J247</f>
        <v>60820</v>
      </c>
      <c r="K226" s="5"/>
      <c r="L226" s="5"/>
      <c r="M226" s="124">
        <v>1534500</v>
      </c>
      <c r="N226" s="5"/>
      <c r="O226" s="5"/>
      <c r="P226" s="5"/>
      <c r="Q226" s="5"/>
      <c r="R226" s="5"/>
    </row>
    <row r="227" spans="1:18" ht="19.5" customHeight="1">
      <c r="A227" s="35">
        <v>25</v>
      </c>
      <c r="B227" s="36" t="s">
        <v>26</v>
      </c>
      <c r="C227" s="29"/>
      <c r="D227" s="29"/>
      <c r="E227" s="29"/>
      <c r="F227" s="33" t="s">
        <v>18</v>
      </c>
      <c r="G227" s="32"/>
      <c r="H227" s="32"/>
      <c r="I227" s="29"/>
      <c r="J227" s="5"/>
      <c r="K227" s="5"/>
      <c r="L227" s="5"/>
      <c r="M227" s="124">
        <v>1417784</v>
      </c>
      <c r="N227" s="5"/>
      <c r="O227" s="5"/>
      <c r="P227" s="5"/>
      <c r="Q227" s="5"/>
      <c r="R227" s="5"/>
    </row>
    <row r="228" spans="1:18" ht="19.5" customHeight="1">
      <c r="A228" s="28"/>
      <c r="B228" s="29"/>
      <c r="C228" s="29">
        <v>1</v>
      </c>
      <c r="D228" s="29"/>
      <c r="E228" s="29"/>
      <c r="F228" s="37" t="s">
        <v>19</v>
      </c>
      <c r="G228" s="38">
        <f>SUM(G229 +G235+G246  )</f>
        <v>72431</v>
      </c>
      <c r="H228" s="38">
        <f>SUM(H229 +H235+H246  )</f>
        <v>41250</v>
      </c>
      <c r="I228" s="38">
        <f>SUM(I229 +I235+I246  )</f>
        <v>32762511</v>
      </c>
      <c r="J228" s="126">
        <f>SUM(J229 +J235+J246  )</f>
        <v>60820</v>
      </c>
      <c r="K228" s="5"/>
      <c r="L228" s="116"/>
      <c r="M228" s="124">
        <v>53125</v>
      </c>
      <c r="N228" s="5"/>
      <c r="O228" s="5"/>
      <c r="P228" s="5"/>
      <c r="Q228" s="5"/>
      <c r="R228" s="5"/>
    </row>
    <row r="229" spans="1:18" ht="19.5" customHeight="1">
      <c r="A229" s="28"/>
      <c r="B229" s="29"/>
      <c r="C229" s="29"/>
      <c r="D229" s="29">
        <v>600.1</v>
      </c>
      <c r="E229" s="29"/>
      <c r="F229" s="37" t="s">
        <v>41</v>
      </c>
      <c r="G229" s="38">
        <f>SUM(G230 +G233  )</f>
        <v>52951</v>
      </c>
      <c r="H229" s="38">
        <f>SUM(H230 +H233  )</f>
        <v>28950</v>
      </c>
      <c r="I229" s="38">
        <f>SUM(I230 +I233  )</f>
        <v>20615747</v>
      </c>
      <c r="J229" s="126">
        <f>SUM(J230 +J233  )</f>
        <v>29118</v>
      </c>
      <c r="K229" s="71"/>
      <c r="L229" s="117"/>
      <c r="M229" s="124">
        <v>1010144</v>
      </c>
      <c r="N229" s="5"/>
      <c r="O229" s="5"/>
      <c r="P229" s="5"/>
      <c r="Q229" s="5"/>
      <c r="R229" s="5"/>
    </row>
    <row r="230" spans="1:18" ht="19.5" customHeight="1">
      <c r="A230" s="28"/>
      <c r="B230" s="29"/>
      <c r="C230" s="29"/>
      <c r="D230" s="29"/>
      <c r="E230" s="39">
        <v>600</v>
      </c>
      <c r="F230" s="31" t="s">
        <v>20</v>
      </c>
      <c r="G230" s="38">
        <f>SUM(G231:G232)</f>
        <v>46849</v>
      </c>
      <c r="H230" s="38">
        <f>SUM(H231:H232)</f>
        <v>24392</v>
      </c>
      <c r="I230" s="49">
        <f>SUM(I231:I232)</f>
        <v>17058208</v>
      </c>
      <c r="J230" s="5">
        <v>24560</v>
      </c>
      <c r="K230" s="5"/>
      <c r="L230" s="117"/>
      <c r="M230" s="5">
        <f>SUM(M222:M229)</f>
        <v>12146764</v>
      </c>
      <c r="N230" s="5"/>
      <c r="O230" s="118"/>
      <c r="P230" s="5"/>
      <c r="Q230" s="5"/>
      <c r="R230" s="5"/>
    </row>
    <row r="231" spans="1:18" ht="19.5" customHeight="1">
      <c r="A231" s="28"/>
      <c r="B231" s="29"/>
      <c r="C231" s="29"/>
      <c r="D231" s="29"/>
      <c r="E231" s="39"/>
      <c r="F231" s="33" t="s">
        <v>20</v>
      </c>
      <c r="G231" s="38">
        <v>44619</v>
      </c>
      <c r="H231" s="38">
        <v>23390</v>
      </c>
      <c r="I231" s="40">
        <v>17058208</v>
      </c>
      <c r="J231" s="119">
        <v>23390</v>
      </c>
      <c r="K231" s="5"/>
      <c r="L231" s="120"/>
      <c r="M231" s="5"/>
      <c r="N231" s="5"/>
      <c r="O231" s="5"/>
      <c r="P231" s="5"/>
      <c r="Q231" s="5"/>
      <c r="R231" s="5"/>
    </row>
    <row r="232" spans="1:18" ht="19.5" customHeight="1">
      <c r="A232" s="28"/>
      <c r="B232" s="29"/>
      <c r="C232" s="29"/>
      <c r="D232" s="29"/>
      <c r="E232" s="39"/>
      <c r="F232" s="33" t="s">
        <v>21</v>
      </c>
      <c r="G232" s="38">
        <v>2230</v>
      </c>
      <c r="H232" s="38">
        <v>1002</v>
      </c>
      <c r="I232" s="40">
        <v>0</v>
      </c>
      <c r="J232" s="119">
        <v>1170</v>
      </c>
      <c r="K232" s="5">
        <v>-168</v>
      </c>
      <c r="L232" s="120" t="s">
        <v>96</v>
      </c>
      <c r="M232" s="5"/>
      <c r="N232" s="116"/>
      <c r="O232" s="5"/>
      <c r="P232" s="5"/>
      <c r="Q232" s="5"/>
      <c r="R232" s="5"/>
    </row>
    <row r="233" spans="1:18" ht="19.5" customHeight="1">
      <c r="A233" s="28"/>
      <c r="B233" s="29"/>
      <c r="C233" s="29"/>
      <c r="D233" s="29">
        <v>601</v>
      </c>
      <c r="E233" s="29"/>
      <c r="F233" s="31" t="s">
        <v>22</v>
      </c>
      <c r="G233" s="38">
        <v>6102</v>
      </c>
      <c r="H233" s="38">
        <v>4558</v>
      </c>
      <c r="I233" s="47">
        <v>3557539</v>
      </c>
      <c r="J233" s="5">
        <v>4558</v>
      </c>
      <c r="K233" s="5"/>
      <c r="L233" s="117"/>
      <c r="M233" s="5"/>
      <c r="N233" s="5"/>
      <c r="O233" s="118"/>
      <c r="P233" s="5"/>
      <c r="Q233" s="5"/>
      <c r="R233" s="5"/>
    </row>
    <row r="234" spans="1:18" ht="19.5" customHeight="1">
      <c r="A234" s="28"/>
      <c r="B234" s="29"/>
      <c r="C234" s="29"/>
      <c r="D234" s="29"/>
      <c r="E234" s="29"/>
      <c r="F234" s="31"/>
      <c r="G234" s="38"/>
      <c r="H234" s="38"/>
      <c r="I234" s="41"/>
      <c r="J234" s="5"/>
      <c r="K234" s="5"/>
      <c r="L234" s="5"/>
      <c r="M234" s="5"/>
      <c r="N234" s="5"/>
      <c r="O234" s="118"/>
      <c r="P234" s="5"/>
      <c r="Q234" s="5"/>
      <c r="R234" s="5"/>
    </row>
    <row r="235" spans="1:18" ht="19.5" customHeight="1">
      <c r="A235" s="28"/>
      <c r="B235" s="29"/>
      <c r="C235" s="29"/>
      <c r="D235" s="29">
        <v>602</v>
      </c>
      <c r="E235" s="29"/>
      <c r="F235" s="42" t="s">
        <v>29</v>
      </c>
      <c r="G235" s="34">
        <v>19480</v>
      </c>
      <c r="H235" s="34">
        <v>12300</v>
      </c>
      <c r="I235" s="34">
        <f>SUM(I236:I243)</f>
        <v>12146764</v>
      </c>
      <c r="J235" s="121">
        <v>31702</v>
      </c>
      <c r="K235" s="122">
        <v>168</v>
      </c>
      <c r="L235" s="120" t="s">
        <v>96</v>
      </c>
      <c r="M235" s="122"/>
      <c r="N235" s="5">
        <v>690284</v>
      </c>
      <c r="O235" s="5"/>
      <c r="P235" s="5"/>
      <c r="Q235" s="5"/>
      <c r="R235" s="5"/>
    </row>
    <row r="236" spans="1:18" ht="19.5" customHeight="1">
      <c r="A236" s="28"/>
      <c r="B236" s="29"/>
      <c r="C236" s="29"/>
      <c r="D236" s="29"/>
      <c r="E236" s="43">
        <v>602</v>
      </c>
      <c r="F236" s="33" t="s">
        <v>31</v>
      </c>
      <c r="G236" s="38"/>
      <c r="H236" s="38"/>
      <c r="I236" s="40">
        <v>416317</v>
      </c>
      <c r="J236" s="5"/>
      <c r="K236" s="5"/>
      <c r="L236" s="5"/>
      <c r="M236" s="5"/>
      <c r="N236" s="5">
        <v>136664</v>
      </c>
      <c r="O236" s="5"/>
      <c r="P236" s="5"/>
      <c r="Q236" s="5"/>
      <c r="R236" s="5"/>
    </row>
    <row r="237" spans="1:18" ht="15" customHeight="1">
      <c r="A237" s="28"/>
      <c r="B237" s="29"/>
      <c r="C237" s="29"/>
      <c r="D237" s="29"/>
      <c r="E237" s="43">
        <v>602.20000000000005</v>
      </c>
      <c r="F237" s="33" t="s">
        <v>32</v>
      </c>
      <c r="G237" s="38"/>
      <c r="H237" s="38"/>
      <c r="I237" s="40">
        <v>1830515</v>
      </c>
      <c r="J237" s="5"/>
      <c r="K237" s="5"/>
      <c r="L237" s="5">
        <v>31870</v>
      </c>
      <c r="M237" s="5"/>
      <c r="N237" s="5">
        <f>SUM(N235:N236)</f>
        <v>826948</v>
      </c>
      <c r="O237" s="5"/>
      <c r="P237" s="5"/>
      <c r="Q237" s="5"/>
      <c r="R237" s="5"/>
    </row>
    <row r="238" spans="1:18" ht="17.25" customHeight="1">
      <c r="A238" s="28"/>
      <c r="B238" s="29"/>
      <c r="C238" s="29"/>
      <c r="D238" s="29"/>
      <c r="E238" s="43" t="s">
        <v>33</v>
      </c>
      <c r="F238" s="33" t="s">
        <v>34</v>
      </c>
      <c r="G238" s="38"/>
      <c r="H238" s="38"/>
      <c r="I238" s="40">
        <v>2274858</v>
      </c>
      <c r="J238" s="5"/>
      <c r="K238" s="5"/>
      <c r="L238" s="5">
        <v>-20000</v>
      </c>
      <c r="M238" s="5"/>
      <c r="N238" s="5"/>
      <c r="O238" s="118"/>
      <c r="P238" s="5"/>
      <c r="Q238" s="5"/>
      <c r="R238" s="5"/>
    </row>
    <row r="239" spans="1:18" ht="16.5" customHeight="1">
      <c r="A239" s="28"/>
      <c r="B239" s="29"/>
      <c r="C239" s="29"/>
      <c r="D239" s="29"/>
      <c r="E239" s="43">
        <v>602.4</v>
      </c>
      <c r="F239" s="33" t="s">
        <v>35</v>
      </c>
      <c r="G239" s="38"/>
      <c r="H239" s="38"/>
      <c r="I239" s="40">
        <v>3609521</v>
      </c>
      <c r="J239" s="5"/>
      <c r="K239" s="5"/>
      <c r="L239" s="5">
        <f>SUM(L237:L238)</f>
        <v>11870</v>
      </c>
      <c r="M239" s="5"/>
      <c r="N239" s="5"/>
      <c r="O239" s="5"/>
      <c r="P239" s="5"/>
      <c r="Q239" s="5"/>
      <c r="R239" s="5"/>
    </row>
    <row r="240" spans="1:18" ht="15.75" customHeight="1">
      <c r="A240" s="28"/>
      <c r="B240" s="29"/>
      <c r="C240" s="29"/>
      <c r="D240" s="29"/>
      <c r="E240" s="43">
        <v>602.5</v>
      </c>
      <c r="F240" s="33" t="s">
        <v>36</v>
      </c>
      <c r="G240" s="38"/>
      <c r="H240" s="38"/>
      <c r="I240" s="40">
        <v>1534500</v>
      </c>
      <c r="J240" s="5"/>
      <c r="K240" s="5"/>
      <c r="L240" s="5"/>
      <c r="M240" s="5"/>
      <c r="N240" s="5"/>
      <c r="O240" s="5"/>
      <c r="P240" s="5"/>
      <c r="Q240" s="5"/>
      <c r="R240" s="5"/>
    </row>
    <row r="241" spans="1:18" ht="16.5" customHeight="1">
      <c r="A241" s="28"/>
      <c r="B241" s="29"/>
      <c r="C241" s="29"/>
      <c r="D241" s="29"/>
      <c r="E241" s="43">
        <v>602.6</v>
      </c>
      <c r="F241" s="33" t="s">
        <v>37</v>
      </c>
      <c r="G241" s="38"/>
      <c r="H241" s="38"/>
      <c r="I241" s="40">
        <v>53125</v>
      </c>
      <c r="J241" s="71"/>
      <c r="K241" s="5"/>
      <c r="L241" s="5"/>
      <c r="M241" s="71"/>
      <c r="N241" s="5"/>
      <c r="O241" s="5"/>
      <c r="P241" s="5"/>
      <c r="Q241" s="5"/>
      <c r="R241" s="5"/>
    </row>
    <row r="242" spans="1:18">
      <c r="A242" s="28"/>
      <c r="B242" s="29"/>
      <c r="C242" s="29"/>
      <c r="D242" s="29"/>
      <c r="E242" s="43">
        <v>602.70000000000005</v>
      </c>
      <c r="F242" s="33" t="s">
        <v>38</v>
      </c>
      <c r="G242" s="38"/>
      <c r="H242" s="38"/>
      <c r="I242" s="40">
        <v>1010144</v>
      </c>
      <c r="J242" s="5"/>
      <c r="K242" s="5"/>
      <c r="L242" s="5"/>
      <c r="M242" s="127">
        <v>416317</v>
      </c>
      <c r="N242" s="128" t="s">
        <v>98</v>
      </c>
      <c r="O242" s="5"/>
      <c r="P242" s="5"/>
      <c r="Q242" s="5"/>
      <c r="R242" s="5"/>
    </row>
    <row r="243" spans="1:18">
      <c r="A243" s="28"/>
      <c r="B243" s="29"/>
      <c r="C243" s="29"/>
      <c r="D243" s="29"/>
      <c r="E243" s="43">
        <v>602.9</v>
      </c>
      <c r="F243" s="33" t="s">
        <v>39</v>
      </c>
      <c r="G243" s="38"/>
      <c r="H243" s="38"/>
      <c r="I243" s="40">
        <v>1417784</v>
      </c>
      <c r="J243" s="5"/>
      <c r="K243" s="5"/>
      <c r="L243" s="5"/>
      <c r="M243" s="129">
        <v>1830515</v>
      </c>
      <c r="N243" s="128" t="s">
        <v>99</v>
      </c>
      <c r="O243" s="5"/>
      <c r="P243" s="5"/>
      <c r="Q243" s="5"/>
      <c r="R243" s="5"/>
    </row>
    <row r="244" spans="1:18" ht="15.75" customHeight="1">
      <c r="A244" s="28"/>
      <c r="B244" s="29"/>
      <c r="C244" s="29"/>
      <c r="D244" s="29"/>
      <c r="E244" s="43"/>
      <c r="F244" s="33" t="s">
        <v>50</v>
      </c>
      <c r="G244" s="38"/>
      <c r="H244" s="38"/>
      <c r="I244" s="40">
        <v>826948</v>
      </c>
      <c r="J244" s="5">
        <v>136664</v>
      </c>
      <c r="K244" s="118">
        <f>SUM(I244:J244)</f>
        <v>963612</v>
      </c>
      <c r="L244" s="5"/>
      <c r="M244" s="129">
        <v>2274858</v>
      </c>
      <c r="N244" s="128" t="s">
        <v>100</v>
      </c>
      <c r="O244" s="5"/>
      <c r="P244" s="5"/>
      <c r="Q244" s="5"/>
      <c r="R244" s="5"/>
    </row>
    <row r="245" spans="1:18" ht="15.75" customHeight="1">
      <c r="A245" s="28"/>
      <c r="B245" s="29"/>
      <c r="C245" s="29"/>
      <c r="D245" s="29"/>
      <c r="E245" s="43"/>
      <c r="F245" s="33" t="s">
        <v>40</v>
      </c>
      <c r="G245" s="38"/>
      <c r="H245" s="38"/>
      <c r="I245" s="40">
        <v>300000</v>
      </c>
      <c r="J245" s="118"/>
      <c r="K245" s="40">
        <v>300000</v>
      </c>
      <c r="L245" s="5"/>
      <c r="M245" s="129">
        <v>3609521</v>
      </c>
      <c r="N245" s="128" t="s">
        <v>101</v>
      </c>
      <c r="O245" s="5"/>
      <c r="P245" s="5"/>
      <c r="Q245" s="5"/>
      <c r="R245" s="5"/>
    </row>
    <row r="246" spans="1:18" ht="15" customHeight="1">
      <c r="A246" s="28"/>
      <c r="B246" s="29"/>
      <c r="C246" s="29"/>
      <c r="D246" s="30">
        <v>604</v>
      </c>
      <c r="E246" s="44"/>
      <c r="F246" s="37" t="s">
        <v>42</v>
      </c>
      <c r="G246" s="38"/>
      <c r="H246" s="38"/>
      <c r="I246" s="38">
        <v>0</v>
      </c>
      <c r="J246" s="5"/>
      <c r="K246" s="118">
        <f>SUM(K244:K245)</f>
        <v>1263612</v>
      </c>
      <c r="L246" s="5"/>
      <c r="M246" s="129">
        <v>1534500</v>
      </c>
      <c r="N246" s="128" t="s">
        <v>102</v>
      </c>
      <c r="O246" s="5"/>
      <c r="P246" s="5"/>
      <c r="Q246" s="5"/>
      <c r="R246" s="5"/>
    </row>
    <row r="247" spans="1:18" ht="15.75" customHeight="1">
      <c r="A247" s="28"/>
      <c r="B247" s="29">
        <v>15</v>
      </c>
      <c r="C247" s="29"/>
      <c r="D247" s="29">
        <v>231</v>
      </c>
      <c r="E247" s="30" t="s">
        <v>23</v>
      </c>
      <c r="F247" s="37" t="s">
        <v>24</v>
      </c>
      <c r="G247" s="34">
        <f>SUM(G248 )</f>
        <v>0</v>
      </c>
      <c r="H247" s="34"/>
      <c r="I247" s="34">
        <f>SUM(I248 )</f>
        <v>0</v>
      </c>
      <c r="J247" s="5"/>
      <c r="K247" s="5">
        <v>-1417784</v>
      </c>
      <c r="L247" s="5"/>
      <c r="M247" s="129">
        <v>1417784</v>
      </c>
      <c r="N247" s="128" t="s">
        <v>103</v>
      </c>
      <c r="O247" s="5"/>
      <c r="P247" s="5"/>
      <c r="Q247" s="5"/>
      <c r="R247" s="5"/>
    </row>
    <row r="248" spans="1:18" ht="15.75" customHeight="1">
      <c r="A248" s="28"/>
      <c r="B248" s="29"/>
      <c r="C248" s="29"/>
      <c r="D248" s="29">
        <v>231</v>
      </c>
      <c r="E248" s="29"/>
      <c r="F248" s="33" t="s">
        <v>46</v>
      </c>
      <c r="G248" s="45"/>
      <c r="H248" s="45"/>
      <c r="I248" s="40"/>
      <c r="J248" s="5"/>
      <c r="K248" s="118">
        <f>SUM(K246:K247)</f>
        <v>-154172</v>
      </c>
      <c r="L248" s="5"/>
      <c r="M248" s="129">
        <v>53125</v>
      </c>
      <c r="N248" s="128" t="s">
        <v>104</v>
      </c>
      <c r="O248" s="5"/>
      <c r="P248" s="5"/>
      <c r="Q248" s="5"/>
      <c r="R248" s="5"/>
    </row>
    <row r="249" spans="1:18" ht="15.75" customHeight="1">
      <c r="A249" s="33"/>
      <c r="B249" s="33"/>
      <c r="C249" s="33"/>
      <c r="D249" s="30"/>
      <c r="E249" s="37"/>
      <c r="F249" s="37"/>
      <c r="G249" s="38"/>
      <c r="H249" s="37"/>
      <c r="I249" s="38">
        <v>0</v>
      </c>
      <c r="J249" s="5"/>
      <c r="K249" s="5"/>
      <c r="L249" s="5"/>
      <c r="M249" s="129">
        <v>1010144</v>
      </c>
      <c r="N249" s="130" t="s">
        <v>105</v>
      </c>
      <c r="O249" s="5"/>
      <c r="P249" s="5"/>
      <c r="Q249" s="5"/>
      <c r="R249" s="5"/>
    </row>
    <row r="250" spans="1:18" ht="16.5" customHeight="1">
      <c r="A250" s="46" t="s">
        <v>45</v>
      </c>
      <c r="B250" s="13"/>
      <c r="C250" s="13"/>
      <c r="D250" s="13"/>
      <c r="E250" s="13"/>
      <c r="F250" s="46" t="s">
        <v>97</v>
      </c>
      <c r="G250" s="13"/>
      <c r="H250" s="13"/>
      <c r="I250" s="12"/>
      <c r="J250" s="5"/>
      <c r="K250" s="5"/>
      <c r="L250" s="5"/>
      <c r="M250" s="131">
        <f>SUM(M242:M249)</f>
        <v>12146764</v>
      </c>
      <c r="N250" s="132" t="s">
        <v>79</v>
      </c>
      <c r="O250" s="5"/>
      <c r="P250" s="5"/>
      <c r="Q250" s="5"/>
      <c r="R250" s="5"/>
    </row>
    <row r="251" spans="1:18" ht="17.25" customHeight="1">
      <c r="A251" s="9" t="s">
        <v>30</v>
      </c>
      <c r="B251" s="9" t="s">
        <v>28</v>
      </c>
      <c r="C251" s="10"/>
      <c r="D251" s="12"/>
      <c r="E251" s="12"/>
      <c r="F251" s="46" t="s">
        <v>44</v>
      </c>
      <c r="G251" s="13"/>
      <c r="H251" s="13"/>
      <c r="I251" s="12"/>
      <c r="J251" s="5"/>
      <c r="K251" s="5"/>
      <c r="L251" s="5"/>
      <c r="M251" s="5"/>
      <c r="N251" s="5"/>
      <c r="O251" s="5"/>
      <c r="P251" s="5"/>
      <c r="Q251" s="5"/>
      <c r="R251" s="5"/>
    </row>
    <row r="252" spans="1:18">
      <c r="A252" s="12"/>
      <c r="B252" s="12"/>
      <c r="C252" s="12"/>
      <c r="D252" s="12"/>
      <c r="E252" s="12"/>
      <c r="F252" s="12"/>
      <c r="G252" s="12"/>
      <c r="H252" s="12"/>
      <c r="I252" s="12"/>
      <c r="J252" s="5"/>
      <c r="K252" s="5"/>
      <c r="L252" s="5"/>
      <c r="M252" s="5"/>
      <c r="N252" s="5"/>
      <c r="O252" s="5"/>
      <c r="P252" s="5"/>
      <c r="Q252" s="5"/>
      <c r="R252" s="5"/>
    </row>
    <row r="253" spans="1:18">
      <c r="A253" s="4"/>
    </row>
    <row r="254" spans="1:18" ht="17.25" customHeight="1">
      <c r="A254" s="9" t="s">
        <v>0</v>
      </c>
      <c r="B254" s="9"/>
      <c r="C254" s="9"/>
      <c r="D254" s="9"/>
      <c r="E254" s="9"/>
      <c r="F254" s="9"/>
      <c r="G254" s="9"/>
      <c r="H254" s="9"/>
      <c r="I254" s="9"/>
    </row>
    <row r="255" spans="1:18" ht="13.5" customHeight="1">
      <c r="A255" s="9" t="s">
        <v>1</v>
      </c>
      <c r="B255" s="9"/>
      <c r="C255" s="9"/>
      <c r="D255" s="9"/>
      <c r="E255" s="9"/>
      <c r="F255" s="9"/>
      <c r="G255" s="10"/>
      <c r="H255" s="10"/>
      <c r="I255" s="10"/>
    </row>
    <row r="256" spans="1:18" ht="14.25" customHeight="1">
      <c r="A256" s="9" t="s">
        <v>27</v>
      </c>
      <c r="B256" s="9"/>
      <c r="C256" s="9"/>
      <c r="D256" s="9"/>
      <c r="E256" s="9"/>
      <c r="F256" s="9"/>
      <c r="G256" s="9"/>
      <c r="H256" s="9"/>
      <c r="I256" s="9"/>
    </row>
    <row r="257" spans="1:18" ht="13.5">
      <c r="A257" s="11" t="s">
        <v>2</v>
      </c>
      <c r="B257" s="11"/>
      <c r="C257" s="11"/>
      <c r="D257" s="11"/>
      <c r="E257" s="11"/>
      <c r="F257" s="9"/>
      <c r="G257" s="10"/>
      <c r="H257" s="10"/>
      <c r="I257" s="10"/>
    </row>
    <row r="258" spans="1:18" ht="12.75" customHeight="1">
      <c r="A258" s="9"/>
      <c r="B258" s="9"/>
      <c r="C258" s="9"/>
      <c r="D258" s="9"/>
      <c r="E258" s="9"/>
      <c r="F258" s="9"/>
      <c r="G258" s="10"/>
      <c r="H258" s="10"/>
      <c r="I258" s="9"/>
    </row>
    <row r="259" spans="1:18" ht="15.75" customHeight="1">
      <c r="A259" s="52" t="s">
        <v>106</v>
      </c>
      <c r="B259" s="50"/>
      <c r="C259" s="51"/>
      <c r="D259" s="51"/>
      <c r="E259" s="51"/>
      <c r="F259" s="51"/>
      <c r="G259" s="51"/>
      <c r="H259" s="51"/>
      <c r="I259" s="11"/>
    </row>
    <row r="260" spans="1:18" ht="19.5" customHeight="1">
      <c r="A260" s="14"/>
      <c r="B260" s="14"/>
      <c r="C260" s="14"/>
      <c r="D260" s="14"/>
      <c r="E260" s="14"/>
      <c r="F260" s="14"/>
      <c r="G260" s="14"/>
      <c r="H260" s="14"/>
      <c r="I260" s="14"/>
    </row>
    <row r="261" spans="1:18" ht="19.5" customHeight="1">
      <c r="A261" s="15" t="s">
        <v>3</v>
      </c>
      <c r="B261" s="16" t="s">
        <v>4</v>
      </c>
      <c r="C261" s="17" t="s">
        <v>5</v>
      </c>
      <c r="D261" s="18" t="s">
        <v>6</v>
      </c>
      <c r="E261" s="18" t="s">
        <v>7</v>
      </c>
      <c r="F261" s="15" t="s">
        <v>8</v>
      </c>
      <c r="G261" s="19" t="s">
        <v>25</v>
      </c>
      <c r="H261" s="19" t="s">
        <v>25</v>
      </c>
      <c r="I261" s="20" t="s">
        <v>48</v>
      </c>
    </row>
    <row r="262" spans="1:18" ht="19.5" customHeight="1">
      <c r="A262" s="21"/>
      <c r="B262" s="22"/>
      <c r="C262" s="23"/>
      <c r="D262" s="24"/>
      <c r="E262" s="25"/>
      <c r="F262" s="21"/>
      <c r="G262" s="26" t="s">
        <v>49</v>
      </c>
      <c r="H262" s="26" t="s">
        <v>107</v>
      </c>
      <c r="I262" s="27" t="s">
        <v>47</v>
      </c>
    </row>
    <row r="263" spans="1:18" ht="19.5" customHeight="1">
      <c r="A263" s="28"/>
      <c r="B263" s="29"/>
      <c r="C263" s="29"/>
      <c r="D263" s="29"/>
      <c r="E263" s="30" t="s">
        <v>9</v>
      </c>
      <c r="F263" s="31" t="s">
        <v>10</v>
      </c>
      <c r="G263" s="29" t="s">
        <v>11</v>
      </c>
      <c r="H263" s="29"/>
      <c r="I263" s="32"/>
    </row>
    <row r="264" spans="1:18" ht="19.5" customHeight="1">
      <c r="A264" s="28"/>
      <c r="B264" s="29"/>
      <c r="C264" s="29"/>
      <c r="D264" s="29"/>
      <c r="E264" s="29">
        <v>1</v>
      </c>
      <c r="F264" s="33" t="s">
        <v>12</v>
      </c>
      <c r="G264" s="29"/>
      <c r="H264" s="29"/>
      <c r="I264" s="33"/>
      <c r="M264" s="123">
        <v>416317</v>
      </c>
    </row>
    <row r="265" spans="1:18" ht="19.5" customHeight="1">
      <c r="A265" s="28"/>
      <c r="B265" s="29"/>
      <c r="C265" s="29"/>
      <c r="D265" s="29"/>
      <c r="E265" s="29">
        <v>2</v>
      </c>
      <c r="F265" s="33" t="s">
        <v>13</v>
      </c>
      <c r="G265" s="29"/>
      <c r="H265" s="29"/>
      <c r="I265" s="33"/>
      <c r="J265" s="5"/>
      <c r="K265" s="5"/>
      <c r="L265" s="5"/>
      <c r="M265" s="124">
        <v>1830515</v>
      </c>
      <c r="N265" s="5"/>
      <c r="O265" s="5"/>
      <c r="P265" s="5"/>
      <c r="Q265" s="5"/>
      <c r="R265" s="5"/>
    </row>
    <row r="266" spans="1:18" ht="19.5" customHeight="1">
      <c r="A266" s="28"/>
      <c r="B266" s="29"/>
      <c r="C266" s="29"/>
      <c r="D266" s="29"/>
      <c r="E266" s="29">
        <v>3</v>
      </c>
      <c r="F266" s="33" t="s">
        <v>14</v>
      </c>
      <c r="G266" s="29"/>
      <c r="H266" s="29"/>
      <c r="I266" s="33"/>
      <c r="J266" s="5"/>
      <c r="K266" s="5"/>
      <c r="L266" s="5"/>
      <c r="M266" s="124">
        <v>2274858</v>
      </c>
      <c r="N266" s="5"/>
      <c r="O266" s="5"/>
      <c r="P266" s="5"/>
      <c r="Q266" s="5"/>
      <c r="R266" s="5"/>
    </row>
    <row r="267" spans="1:18" ht="19.5" customHeight="1">
      <c r="A267" s="28"/>
      <c r="B267" s="29"/>
      <c r="C267" s="29"/>
      <c r="D267" s="29"/>
      <c r="E267" s="29">
        <v>4</v>
      </c>
      <c r="F267" s="33" t="s">
        <v>15</v>
      </c>
      <c r="G267" s="28"/>
      <c r="H267" s="28"/>
      <c r="I267" s="33"/>
      <c r="J267" s="5"/>
      <c r="K267" s="5"/>
      <c r="L267" s="5"/>
      <c r="M267" s="124">
        <v>3609521</v>
      </c>
      <c r="N267" s="5"/>
      <c r="O267" s="5"/>
      <c r="P267" s="5"/>
      <c r="Q267" s="5"/>
      <c r="R267" s="5"/>
    </row>
    <row r="268" spans="1:18" ht="19.5" customHeight="1">
      <c r="A268" s="28"/>
      <c r="B268" s="29"/>
      <c r="C268" s="29"/>
      <c r="D268" s="29"/>
      <c r="E268" s="30" t="s">
        <v>16</v>
      </c>
      <c r="F268" s="31" t="s">
        <v>17</v>
      </c>
      <c r="G268" s="34">
        <f>G270 +G289</f>
        <v>72431</v>
      </c>
      <c r="H268" s="34">
        <f>H270 +H289</f>
        <v>47398</v>
      </c>
      <c r="I268" s="34">
        <f>I270 +I289</f>
        <v>43153158</v>
      </c>
      <c r="J268" s="125">
        <f>J270 +J289</f>
        <v>1604104</v>
      </c>
      <c r="K268" s="5"/>
      <c r="L268" s="5"/>
      <c r="M268" s="124">
        <v>1534500</v>
      </c>
      <c r="N268" s="5"/>
      <c r="O268" s="5"/>
      <c r="P268" s="5"/>
      <c r="Q268" s="5"/>
      <c r="R268" s="5"/>
    </row>
    <row r="269" spans="1:18" ht="19.5" customHeight="1">
      <c r="A269" s="35">
        <v>25</v>
      </c>
      <c r="B269" s="36" t="s">
        <v>26</v>
      </c>
      <c r="C269" s="29"/>
      <c r="D269" s="29"/>
      <c r="E269" s="29"/>
      <c r="F269" s="33" t="s">
        <v>18</v>
      </c>
      <c r="G269" s="32"/>
      <c r="H269" s="32"/>
      <c r="I269" s="29"/>
      <c r="J269" s="5"/>
      <c r="K269" s="5"/>
      <c r="L269" s="5"/>
      <c r="M269" s="124">
        <v>1417784</v>
      </c>
      <c r="N269" s="5"/>
      <c r="O269" s="5"/>
      <c r="P269" s="5"/>
      <c r="Q269" s="5"/>
      <c r="R269" s="5"/>
    </row>
    <row r="270" spans="1:18" ht="19.5" customHeight="1">
      <c r="A270" s="28"/>
      <c r="B270" s="29"/>
      <c r="C270" s="29">
        <v>1</v>
      </c>
      <c r="D270" s="29"/>
      <c r="E270" s="29"/>
      <c r="F270" s="37" t="s">
        <v>19</v>
      </c>
      <c r="G270" s="38">
        <f>SUM(G271 +G277+G288  )</f>
        <v>72431</v>
      </c>
      <c r="H270" s="38">
        <f>SUM(H271 +H277+H288  )</f>
        <v>47398</v>
      </c>
      <c r="I270" s="38">
        <f>SUM(I271 +I277+I288  )</f>
        <v>43153158</v>
      </c>
      <c r="J270" s="126">
        <f>SUM(J271 +J277+J288  )</f>
        <v>360820</v>
      </c>
      <c r="K270" s="5"/>
      <c r="L270" s="116"/>
      <c r="M270" s="124">
        <v>53125</v>
      </c>
      <c r="N270" s="5"/>
      <c r="O270" s="5"/>
      <c r="P270" s="5"/>
      <c r="Q270" s="5"/>
      <c r="R270" s="5"/>
    </row>
    <row r="271" spans="1:18" ht="19.5" customHeight="1">
      <c r="A271" s="28"/>
      <c r="B271" s="29"/>
      <c r="C271" s="29"/>
      <c r="D271" s="29">
        <v>600.1</v>
      </c>
      <c r="E271" s="29"/>
      <c r="F271" s="37" t="s">
        <v>41</v>
      </c>
      <c r="G271" s="38">
        <f>SUM(G272 +G275  )</f>
        <v>52951</v>
      </c>
      <c r="H271" s="38">
        <f>SUM(H272 +H275  )</f>
        <v>33978</v>
      </c>
      <c r="I271" s="38">
        <f>SUM(I272 +I275  )</f>
        <v>29889559</v>
      </c>
      <c r="J271" s="126">
        <f>SUM(J272 +J275  )</f>
        <v>29118</v>
      </c>
      <c r="K271" s="71"/>
      <c r="L271" s="117"/>
      <c r="M271" s="124">
        <v>1010144</v>
      </c>
      <c r="N271" s="5"/>
      <c r="O271" s="5"/>
      <c r="P271" s="5"/>
      <c r="Q271" s="5"/>
      <c r="R271" s="5"/>
    </row>
    <row r="272" spans="1:18" ht="19.5" customHeight="1">
      <c r="A272" s="28"/>
      <c r="B272" s="29"/>
      <c r="C272" s="29"/>
      <c r="D272" s="29"/>
      <c r="E272" s="39">
        <v>600</v>
      </c>
      <c r="F272" s="31" t="s">
        <v>20</v>
      </c>
      <c r="G272" s="38">
        <f>SUM(G273:G274)</f>
        <v>46849</v>
      </c>
      <c r="H272" s="38">
        <f>SUM(H273:H274)</f>
        <v>28692</v>
      </c>
      <c r="I272" s="49">
        <f>SUM(I273:I274)</f>
        <v>25178146</v>
      </c>
      <c r="J272" s="5">
        <v>24560</v>
      </c>
      <c r="K272" s="5"/>
      <c r="L272" s="117"/>
      <c r="M272" s="5">
        <f>SUM(M264:M271)</f>
        <v>12146764</v>
      </c>
      <c r="N272" s="5"/>
      <c r="O272" s="118"/>
      <c r="P272" s="5"/>
      <c r="Q272" s="5"/>
      <c r="R272" s="5"/>
    </row>
    <row r="273" spans="1:18" ht="19.5" customHeight="1">
      <c r="A273" s="28"/>
      <c r="B273" s="29"/>
      <c r="C273" s="29"/>
      <c r="D273" s="29"/>
      <c r="E273" s="39"/>
      <c r="F273" s="33" t="s">
        <v>20</v>
      </c>
      <c r="G273" s="38">
        <v>44619</v>
      </c>
      <c r="H273" s="38">
        <v>27478</v>
      </c>
      <c r="I273" s="40">
        <v>25178146</v>
      </c>
      <c r="J273" s="119">
        <v>23390</v>
      </c>
      <c r="K273" s="5"/>
      <c r="L273" s="120"/>
      <c r="M273" s="5"/>
      <c r="N273" s="5"/>
      <c r="O273" s="5"/>
      <c r="P273" s="5"/>
      <c r="Q273" s="5"/>
      <c r="R273" s="5"/>
    </row>
    <row r="274" spans="1:18" ht="19.5" customHeight="1">
      <c r="A274" s="28"/>
      <c r="B274" s="29"/>
      <c r="C274" s="29"/>
      <c r="D274" s="29"/>
      <c r="E274" s="39"/>
      <c r="F274" s="33" t="s">
        <v>21</v>
      </c>
      <c r="G274" s="38">
        <v>2230</v>
      </c>
      <c r="H274" s="38">
        <v>1214</v>
      </c>
      <c r="I274" s="40">
        <v>0</v>
      </c>
      <c r="J274" s="119">
        <v>1170</v>
      </c>
      <c r="K274" s="5">
        <v>-168</v>
      </c>
      <c r="L274" s="120" t="s">
        <v>96</v>
      </c>
      <c r="M274" s="5"/>
      <c r="N274" s="116">
        <v>6102</v>
      </c>
      <c r="O274" s="5"/>
      <c r="P274" s="5"/>
      <c r="Q274" s="5"/>
      <c r="R274" s="5"/>
    </row>
    <row r="275" spans="1:18" ht="19.5" customHeight="1">
      <c r="A275" s="28"/>
      <c r="B275" s="29"/>
      <c r="C275" s="29"/>
      <c r="D275" s="29">
        <v>601</v>
      </c>
      <c r="E275" s="29"/>
      <c r="F275" s="31" t="s">
        <v>22</v>
      </c>
      <c r="G275" s="38">
        <v>6102</v>
      </c>
      <c r="H275" s="38">
        <v>5286</v>
      </c>
      <c r="I275" s="47">
        <v>4711413</v>
      </c>
      <c r="J275" s="5">
        <v>4558</v>
      </c>
      <c r="K275" s="5"/>
      <c r="L275" s="117"/>
      <c r="M275" s="5"/>
      <c r="N275" s="5">
        <v>-4711</v>
      </c>
      <c r="O275" s="118"/>
      <c r="P275" s="5"/>
      <c r="Q275" s="5"/>
      <c r="R275" s="5"/>
    </row>
    <row r="276" spans="1:18" ht="19.5" customHeight="1">
      <c r="A276" s="28"/>
      <c r="B276" s="29"/>
      <c r="C276" s="29"/>
      <c r="D276" s="29"/>
      <c r="E276" s="29"/>
      <c r="F276" s="31"/>
      <c r="G276" s="38"/>
      <c r="H276" s="38"/>
      <c r="I276" s="41"/>
      <c r="J276" s="5"/>
      <c r="K276" s="5"/>
      <c r="L276" s="5"/>
      <c r="M276" s="5"/>
      <c r="N276" s="116">
        <f>SUM(N274:N275)</f>
        <v>1391</v>
      </c>
      <c r="O276" s="118"/>
      <c r="P276" s="5"/>
      <c r="Q276" s="5"/>
      <c r="R276" s="5"/>
    </row>
    <row r="277" spans="1:18" ht="19.5" customHeight="1">
      <c r="A277" s="28"/>
      <c r="B277" s="29"/>
      <c r="C277" s="29"/>
      <c r="D277" s="29">
        <v>602</v>
      </c>
      <c r="E277" s="29"/>
      <c r="F277" s="42" t="s">
        <v>29</v>
      </c>
      <c r="G277" s="34">
        <v>19480</v>
      </c>
      <c r="H277" s="34">
        <v>13420</v>
      </c>
      <c r="I277" s="34">
        <f>SUM(I278:I285)</f>
        <v>13263599</v>
      </c>
      <c r="J277" s="121">
        <v>31702</v>
      </c>
      <c r="K277" s="122">
        <v>168</v>
      </c>
      <c r="L277" s="120" t="s">
        <v>96</v>
      </c>
      <c r="M277" s="122"/>
      <c r="N277" s="5"/>
      <c r="O277" s="5"/>
      <c r="P277" s="5"/>
      <c r="Q277" s="5"/>
      <c r="R277" s="5"/>
    </row>
    <row r="278" spans="1:18" ht="19.5" customHeight="1">
      <c r="A278" s="28"/>
      <c r="B278" s="29"/>
      <c r="C278" s="29"/>
      <c r="D278" s="29"/>
      <c r="E278" s="43">
        <v>602</v>
      </c>
      <c r="F278" s="33" t="s">
        <v>31</v>
      </c>
      <c r="G278" s="38"/>
      <c r="H278" s="38"/>
      <c r="I278" s="40">
        <v>416317</v>
      </c>
      <c r="J278" s="5"/>
      <c r="K278" s="5"/>
      <c r="L278" s="5"/>
      <c r="M278" s="5"/>
      <c r="N278" s="5"/>
      <c r="O278" s="5"/>
      <c r="P278" s="5"/>
      <c r="Q278" s="5"/>
      <c r="R278" s="5"/>
    </row>
    <row r="279" spans="1:18" ht="15" customHeight="1">
      <c r="A279" s="28"/>
      <c r="B279" s="29"/>
      <c r="C279" s="29"/>
      <c r="D279" s="29"/>
      <c r="E279" s="43">
        <v>602.20000000000005</v>
      </c>
      <c r="F279" s="33" t="s">
        <v>32</v>
      </c>
      <c r="G279" s="38"/>
      <c r="H279" s="38"/>
      <c r="I279" s="40">
        <v>1830815</v>
      </c>
      <c r="J279" s="5"/>
      <c r="K279" s="5"/>
      <c r="L279" s="5">
        <v>31870</v>
      </c>
      <c r="M279" s="5"/>
      <c r="N279" s="5"/>
      <c r="O279" s="5"/>
      <c r="P279" s="5"/>
      <c r="Q279" s="5"/>
      <c r="R279" s="5"/>
    </row>
    <row r="280" spans="1:18" ht="17.25" customHeight="1">
      <c r="A280" s="28"/>
      <c r="B280" s="29"/>
      <c r="C280" s="29"/>
      <c r="D280" s="29"/>
      <c r="E280" s="43" t="s">
        <v>33</v>
      </c>
      <c r="F280" s="33" t="s">
        <v>34</v>
      </c>
      <c r="G280" s="38"/>
      <c r="H280" s="38"/>
      <c r="I280" s="40">
        <v>2274858</v>
      </c>
      <c r="J280" s="5"/>
      <c r="K280" s="5"/>
      <c r="L280" s="5">
        <v>-20000</v>
      </c>
      <c r="M280" s="5"/>
      <c r="N280" s="5"/>
      <c r="O280" s="118"/>
      <c r="P280" s="5"/>
      <c r="Q280" s="5"/>
      <c r="R280" s="5"/>
    </row>
    <row r="281" spans="1:18" ht="16.5" customHeight="1">
      <c r="A281" s="28"/>
      <c r="B281" s="29"/>
      <c r="C281" s="29"/>
      <c r="D281" s="29"/>
      <c r="E281" s="43">
        <v>602.4</v>
      </c>
      <c r="F281" s="33" t="s">
        <v>35</v>
      </c>
      <c r="G281" s="38"/>
      <c r="H281" s="38"/>
      <c r="I281" s="40">
        <v>3710176</v>
      </c>
      <c r="J281" s="5"/>
      <c r="K281" s="5"/>
      <c r="L281" s="5">
        <f>SUM(L279:L280)</f>
        <v>11870</v>
      </c>
      <c r="M281" s="5"/>
      <c r="N281" s="5"/>
      <c r="O281" s="5"/>
      <c r="P281" s="5"/>
      <c r="Q281" s="5"/>
      <c r="R281" s="5"/>
    </row>
    <row r="282" spans="1:18" ht="15.75" customHeight="1">
      <c r="A282" s="28"/>
      <c r="B282" s="29"/>
      <c r="C282" s="29"/>
      <c r="D282" s="29"/>
      <c r="E282" s="43">
        <v>602.5</v>
      </c>
      <c r="F282" s="33" t="s">
        <v>36</v>
      </c>
      <c r="G282" s="38"/>
      <c r="H282" s="38"/>
      <c r="I282" s="40">
        <v>2434044</v>
      </c>
      <c r="J282" s="5"/>
      <c r="K282" s="5"/>
      <c r="L282" s="5"/>
      <c r="M282" s="5"/>
      <c r="N282" s="5"/>
      <c r="O282" s="5"/>
      <c r="P282" s="5"/>
      <c r="Q282" s="5"/>
      <c r="R282" s="5"/>
    </row>
    <row r="283" spans="1:18" ht="16.5" customHeight="1">
      <c r="A283" s="28"/>
      <c r="B283" s="29"/>
      <c r="C283" s="29"/>
      <c r="D283" s="29"/>
      <c r="E283" s="43">
        <v>602.6</v>
      </c>
      <c r="F283" s="33" t="s">
        <v>37</v>
      </c>
      <c r="G283" s="38"/>
      <c r="H283" s="38"/>
      <c r="I283" s="40">
        <v>53125</v>
      </c>
      <c r="J283" s="71"/>
      <c r="K283" s="5"/>
      <c r="L283" s="5"/>
      <c r="M283" s="71"/>
      <c r="N283" s="5"/>
      <c r="O283" s="5"/>
      <c r="P283" s="5"/>
      <c r="Q283" s="5"/>
      <c r="R283" s="5"/>
    </row>
    <row r="284" spans="1:18">
      <c r="A284" s="28"/>
      <c r="B284" s="29"/>
      <c r="C284" s="29"/>
      <c r="D284" s="29"/>
      <c r="E284" s="43">
        <v>602.70000000000005</v>
      </c>
      <c r="F284" s="33" t="s">
        <v>38</v>
      </c>
      <c r="G284" s="38"/>
      <c r="H284" s="38"/>
      <c r="I284" s="40">
        <v>1010144</v>
      </c>
      <c r="J284" s="5"/>
      <c r="K284" s="5"/>
      <c r="L284" s="5"/>
      <c r="M284" s="127">
        <v>416317</v>
      </c>
      <c r="N284" s="128" t="s">
        <v>98</v>
      </c>
      <c r="O284" s="5"/>
      <c r="P284" s="5"/>
      <c r="Q284" s="5"/>
      <c r="R284" s="5"/>
    </row>
    <row r="285" spans="1:18">
      <c r="A285" s="28"/>
      <c r="B285" s="29"/>
      <c r="C285" s="29"/>
      <c r="D285" s="29"/>
      <c r="E285" s="43">
        <v>602.9</v>
      </c>
      <c r="F285" s="33" t="s">
        <v>39</v>
      </c>
      <c r="G285" s="38"/>
      <c r="H285" s="38"/>
      <c r="I285" s="40">
        <v>1534120</v>
      </c>
      <c r="J285" s="5">
        <v>826948</v>
      </c>
      <c r="K285" s="5"/>
      <c r="L285" s="5"/>
      <c r="M285" s="129">
        <v>1830515</v>
      </c>
      <c r="N285" s="128" t="s">
        <v>99</v>
      </c>
      <c r="O285" s="5"/>
      <c r="P285" s="5"/>
      <c r="Q285" s="5"/>
      <c r="R285" s="5"/>
    </row>
    <row r="286" spans="1:18" ht="15.75" customHeight="1">
      <c r="A286" s="28"/>
      <c r="B286" s="29"/>
      <c r="C286" s="29"/>
      <c r="D286" s="29"/>
      <c r="E286" s="43"/>
      <c r="F286" s="33" t="s">
        <v>50</v>
      </c>
      <c r="G286" s="38"/>
      <c r="H286" s="38"/>
      <c r="I286" s="40">
        <v>943284</v>
      </c>
      <c r="J286" s="5">
        <v>116336</v>
      </c>
      <c r="K286" s="148"/>
      <c r="L286" s="5"/>
      <c r="M286" s="129">
        <v>2274858</v>
      </c>
      <c r="N286" s="128" t="s">
        <v>100</v>
      </c>
      <c r="O286" s="5"/>
      <c r="P286" s="5"/>
      <c r="Q286" s="5"/>
      <c r="R286" s="5"/>
    </row>
    <row r="287" spans="1:18" ht="15.75" customHeight="1">
      <c r="A287" s="28"/>
      <c r="B287" s="29"/>
      <c r="C287" s="29"/>
      <c r="D287" s="29"/>
      <c r="E287" s="43"/>
      <c r="F287" s="33" t="s">
        <v>40</v>
      </c>
      <c r="G287" s="38"/>
      <c r="H287" s="38"/>
      <c r="I287" s="40">
        <v>300000</v>
      </c>
      <c r="J287" s="118">
        <f>SUM(J285:J286)</f>
        <v>943284</v>
      </c>
      <c r="K287" s="5"/>
      <c r="L287" s="5"/>
      <c r="M287" s="129">
        <v>3609521</v>
      </c>
      <c r="N287" s="128" t="s">
        <v>101</v>
      </c>
      <c r="O287" s="5"/>
      <c r="P287" s="5"/>
      <c r="Q287" s="5"/>
      <c r="R287" s="5"/>
    </row>
    <row r="288" spans="1:18" ht="15" customHeight="1">
      <c r="A288" s="28"/>
      <c r="B288" s="29"/>
      <c r="C288" s="29"/>
      <c r="D288" s="30">
        <v>604</v>
      </c>
      <c r="E288" s="44"/>
      <c r="F288" s="37" t="s">
        <v>42</v>
      </c>
      <c r="G288" s="38"/>
      <c r="H288" s="38"/>
      <c r="I288" s="38">
        <v>0</v>
      </c>
      <c r="J288" s="5">
        <v>300000</v>
      </c>
      <c r="K288" s="5"/>
      <c r="L288" s="5"/>
      <c r="M288" s="129">
        <v>1534500</v>
      </c>
      <c r="N288" s="128" t="s">
        <v>102</v>
      </c>
      <c r="O288" s="5"/>
      <c r="P288" s="5"/>
      <c r="Q288" s="5"/>
      <c r="R288" s="5"/>
    </row>
    <row r="289" spans="1:18" ht="15.75" customHeight="1">
      <c r="A289" s="28"/>
      <c r="B289" s="29">
        <v>15</v>
      </c>
      <c r="C289" s="29"/>
      <c r="D289" s="29">
        <v>231</v>
      </c>
      <c r="E289" s="30" t="s">
        <v>23</v>
      </c>
      <c r="F289" s="37" t="s">
        <v>24</v>
      </c>
      <c r="G289" s="34">
        <f>SUM(G290 )</f>
        <v>0</v>
      </c>
      <c r="H289" s="34"/>
      <c r="I289" s="34">
        <f>SUM(I290 )</f>
        <v>0</v>
      </c>
      <c r="J289" s="118">
        <f>SUM(J287:J288)</f>
        <v>1243284</v>
      </c>
      <c r="K289" s="5"/>
      <c r="L289" s="5"/>
      <c r="M289" s="129">
        <v>1417784</v>
      </c>
      <c r="N289" s="128" t="s">
        <v>103</v>
      </c>
      <c r="O289" s="5"/>
      <c r="P289" s="5"/>
      <c r="Q289" s="5"/>
      <c r="R289" s="5"/>
    </row>
    <row r="290" spans="1:18" ht="15.75" customHeight="1">
      <c r="A290" s="28"/>
      <c r="B290" s="29"/>
      <c r="C290" s="29"/>
      <c r="D290" s="29">
        <v>231</v>
      </c>
      <c r="E290" s="29"/>
      <c r="F290" s="33" t="s">
        <v>46</v>
      </c>
      <c r="G290" s="45"/>
      <c r="H290" s="45"/>
      <c r="I290" s="40"/>
      <c r="J290" s="149">
        <v>168000</v>
      </c>
      <c r="K290" s="5"/>
      <c r="L290" s="5"/>
      <c r="M290" s="129">
        <v>53125</v>
      </c>
      <c r="N290" s="128" t="s">
        <v>104</v>
      </c>
      <c r="O290" s="5"/>
      <c r="P290" s="5"/>
      <c r="Q290" s="5"/>
      <c r="R290" s="5"/>
    </row>
    <row r="291" spans="1:18" ht="15.75" customHeight="1">
      <c r="A291" s="33"/>
      <c r="B291" s="33"/>
      <c r="C291" s="33"/>
      <c r="D291" s="30"/>
      <c r="E291" s="37"/>
      <c r="F291" s="37"/>
      <c r="G291" s="38"/>
      <c r="H291" s="37"/>
      <c r="I291" s="38">
        <v>0</v>
      </c>
      <c r="J291" s="118">
        <f>SUM(J289:J290)</f>
        <v>1411284</v>
      </c>
      <c r="K291" s="5"/>
      <c r="L291" s="5"/>
      <c r="M291" s="129">
        <v>1010144</v>
      </c>
      <c r="N291" s="130" t="s">
        <v>105</v>
      </c>
      <c r="O291" s="5"/>
      <c r="P291" s="5"/>
      <c r="Q291" s="5"/>
      <c r="R291" s="5"/>
    </row>
    <row r="292" spans="1:18" ht="16.5" customHeight="1">
      <c r="A292" s="46" t="s">
        <v>45</v>
      </c>
      <c r="B292" s="13"/>
      <c r="C292" s="13"/>
      <c r="D292" s="13"/>
      <c r="E292" s="13"/>
      <c r="F292" s="46" t="s">
        <v>97</v>
      </c>
      <c r="G292" s="13"/>
      <c r="H292" s="13"/>
      <c r="I292" s="12"/>
      <c r="J292" s="5">
        <v>-1534120</v>
      </c>
      <c r="K292" s="5"/>
      <c r="L292" s="5"/>
      <c r="M292" s="131">
        <f>SUM(M284:M291)</f>
        <v>12146764</v>
      </c>
      <c r="N292" s="132" t="s">
        <v>79</v>
      </c>
      <c r="O292" s="5"/>
      <c r="P292" s="5"/>
      <c r="Q292" s="5"/>
      <c r="R292" s="5"/>
    </row>
    <row r="293" spans="1:18" ht="17.25" customHeight="1">
      <c r="A293" s="9" t="s">
        <v>30</v>
      </c>
      <c r="B293" s="9" t="s">
        <v>28</v>
      </c>
      <c r="C293" s="10"/>
      <c r="D293" s="12"/>
      <c r="E293" s="12"/>
      <c r="F293" s="46" t="s">
        <v>44</v>
      </c>
      <c r="G293" s="13"/>
      <c r="H293" s="13"/>
      <c r="I293" s="12"/>
      <c r="J293" s="118">
        <f>SUM(J291:J292)</f>
        <v>-122836</v>
      </c>
      <c r="K293" s="5"/>
      <c r="L293" s="5"/>
      <c r="M293" s="5"/>
      <c r="N293" s="5"/>
      <c r="O293" s="5"/>
      <c r="P293" s="5"/>
      <c r="Q293" s="5"/>
      <c r="R293" s="5"/>
    </row>
    <row r="294" spans="1:18">
      <c r="A294" s="12"/>
      <c r="B294" s="12"/>
      <c r="C294" s="12"/>
      <c r="D294" s="12"/>
      <c r="E294" s="12"/>
      <c r="F294" s="12"/>
      <c r="G294" s="12"/>
      <c r="H294" s="12"/>
      <c r="I294" s="12"/>
      <c r="J294" s="5"/>
      <c r="K294" s="5"/>
      <c r="L294" s="5"/>
      <c r="M294" s="5"/>
      <c r="N294" s="5"/>
      <c r="O294" s="5"/>
      <c r="P294" s="5"/>
      <c r="Q294" s="5"/>
      <c r="R294" s="5"/>
    </row>
    <row r="295" spans="1:18">
      <c r="A295" s="4"/>
    </row>
    <row r="296" spans="1:18" ht="17.25" customHeight="1">
      <c r="A296" s="9" t="s">
        <v>0</v>
      </c>
      <c r="B296" s="9"/>
      <c r="C296" s="9"/>
      <c r="D296" s="9"/>
      <c r="E296" s="9"/>
      <c r="F296" s="9"/>
      <c r="G296" s="9"/>
      <c r="H296" s="9"/>
      <c r="I296" s="9"/>
    </row>
    <row r="297" spans="1:18" ht="13.5" customHeight="1">
      <c r="A297" s="9" t="s">
        <v>1</v>
      </c>
      <c r="B297" s="9"/>
      <c r="C297" s="9"/>
      <c r="D297" s="9"/>
      <c r="E297" s="9"/>
      <c r="F297" s="9"/>
      <c r="G297" s="10"/>
      <c r="H297" s="10"/>
      <c r="I297" s="10"/>
    </row>
    <row r="298" spans="1:18" ht="14.25" customHeight="1">
      <c r="A298" s="9" t="s">
        <v>27</v>
      </c>
      <c r="B298" s="9"/>
      <c r="C298" s="9"/>
      <c r="D298" s="9"/>
      <c r="E298" s="9"/>
      <c r="F298" s="9"/>
      <c r="G298" s="9"/>
      <c r="H298" s="9"/>
      <c r="I298" s="9"/>
    </row>
    <row r="299" spans="1:18" ht="13.5">
      <c r="A299" s="11" t="s">
        <v>2</v>
      </c>
      <c r="B299" s="11"/>
      <c r="C299" s="11"/>
      <c r="D299" s="11"/>
      <c r="E299" s="11"/>
      <c r="F299" s="9"/>
      <c r="G299" s="10"/>
      <c r="H299" s="10"/>
      <c r="I299" s="10"/>
    </row>
    <row r="300" spans="1:18" ht="12.75" customHeight="1">
      <c r="A300" s="9"/>
      <c r="B300" s="9"/>
      <c r="C300" s="9"/>
      <c r="D300" s="9"/>
      <c r="E300" s="9"/>
      <c r="F300" s="9"/>
      <c r="G300" s="10"/>
      <c r="H300" s="10"/>
      <c r="I300" s="9"/>
    </row>
    <row r="301" spans="1:18" ht="15.75" customHeight="1">
      <c r="A301" s="52" t="s">
        <v>111</v>
      </c>
      <c r="B301" s="50"/>
      <c r="C301" s="51"/>
      <c r="D301" s="51"/>
      <c r="E301" s="51"/>
      <c r="F301" s="51"/>
      <c r="G301" s="51"/>
      <c r="H301" s="51"/>
      <c r="I301" s="11"/>
    </row>
    <row r="302" spans="1:18" ht="19.5" customHeight="1">
      <c r="A302" s="14"/>
      <c r="B302" s="14"/>
      <c r="C302" s="14"/>
      <c r="D302" s="14"/>
      <c r="E302" s="14"/>
      <c r="F302" s="14"/>
      <c r="G302" s="14"/>
      <c r="H302" s="14"/>
      <c r="I302" s="14"/>
    </row>
    <row r="303" spans="1:18" ht="19.5" customHeight="1">
      <c r="A303" s="15" t="s">
        <v>3</v>
      </c>
      <c r="B303" s="16" t="s">
        <v>4</v>
      </c>
      <c r="C303" s="17" t="s">
        <v>5</v>
      </c>
      <c r="D303" s="18" t="s">
        <v>6</v>
      </c>
      <c r="E303" s="18" t="s">
        <v>7</v>
      </c>
      <c r="F303" s="15" t="s">
        <v>8</v>
      </c>
      <c r="G303" s="19" t="s">
        <v>25</v>
      </c>
      <c r="H303" s="19" t="s">
        <v>25</v>
      </c>
      <c r="I303" s="20" t="s">
        <v>48</v>
      </c>
    </row>
    <row r="304" spans="1:18" ht="19.5" customHeight="1">
      <c r="A304" s="21"/>
      <c r="B304" s="22"/>
      <c r="C304" s="23"/>
      <c r="D304" s="24"/>
      <c r="E304" s="25"/>
      <c r="F304" s="21"/>
      <c r="G304" s="26" t="s">
        <v>49</v>
      </c>
      <c r="H304" s="26" t="s">
        <v>113</v>
      </c>
      <c r="I304" s="27" t="s">
        <v>47</v>
      </c>
    </row>
    <row r="305" spans="1:18" ht="19.5" customHeight="1">
      <c r="A305" s="28"/>
      <c r="B305" s="29"/>
      <c r="C305" s="29"/>
      <c r="D305" s="29"/>
      <c r="E305" s="30" t="s">
        <v>9</v>
      </c>
      <c r="F305" s="31" t="s">
        <v>10</v>
      </c>
      <c r="G305" s="29" t="s">
        <v>11</v>
      </c>
      <c r="H305" s="29"/>
      <c r="I305" s="32"/>
    </row>
    <row r="306" spans="1:18" ht="19.5" customHeight="1">
      <c r="A306" s="28"/>
      <c r="B306" s="29"/>
      <c r="C306" s="29"/>
      <c r="D306" s="29"/>
      <c r="E306" s="29">
        <v>1</v>
      </c>
      <c r="F306" s="33" t="s">
        <v>12</v>
      </c>
      <c r="G306" s="29"/>
      <c r="H306" s="29"/>
      <c r="I306" s="33"/>
      <c r="M306" s="123">
        <v>416317</v>
      </c>
    </row>
    <row r="307" spans="1:18" ht="19.5" customHeight="1">
      <c r="A307" s="28"/>
      <c r="B307" s="29"/>
      <c r="C307" s="29"/>
      <c r="D307" s="29"/>
      <c r="E307" s="29">
        <v>2</v>
      </c>
      <c r="F307" s="33" t="s">
        <v>13</v>
      </c>
      <c r="G307" s="29"/>
      <c r="H307" s="29"/>
      <c r="I307" s="33"/>
      <c r="J307" s="5"/>
      <c r="K307" s="5"/>
      <c r="L307" s="5"/>
      <c r="M307" s="124">
        <v>1830515</v>
      </c>
      <c r="N307" s="5"/>
      <c r="O307" s="5"/>
      <c r="P307" s="5"/>
      <c r="Q307" s="5"/>
      <c r="R307" s="5"/>
    </row>
    <row r="308" spans="1:18" ht="19.5" customHeight="1">
      <c r="A308" s="28"/>
      <c r="B308" s="29"/>
      <c r="C308" s="29"/>
      <c r="D308" s="29"/>
      <c r="E308" s="29">
        <v>3</v>
      </c>
      <c r="F308" s="33" t="s">
        <v>14</v>
      </c>
      <c r="G308" s="29"/>
      <c r="H308" s="29"/>
      <c r="I308" s="33"/>
      <c r="J308" s="5"/>
      <c r="K308" s="5"/>
      <c r="L308" s="5"/>
      <c r="M308" s="124">
        <v>2274858</v>
      </c>
      <c r="N308" s="5"/>
      <c r="O308" s="5"/>
      <c r="P308" s="5"/>
      <c r="Q308" s="5"/>
      <c r="R308" s="5"/>
    </row>
    <row r="309" spans="1:18" ht="19.5" customHeight="1">
      <c r="A309" s="28"/>
      <c r="B309" s="29"/>
      <c r="C309" s="29"/>
      <c r="D309" s="29"/>
      <c r="E309" s="29">
        <v>4</v>
      </c>
      <c r="F309" s="33" t="s">
        <v>15</v>
      </c>
      <c r="G309" s="28"/>
      <c r="H309" s="28"/>
      <c r="I309" s="33"/>
      <c r="J309" s="5"/>
      <c r="K309" s="5"/>
      <c r="L309" s="5"/>
      <c r="M309" s="124">
        <v>3609521</v>
      </c>
      <c r="N309" s="5"/>
      <c r="O309" s="5"/>
      <c r="P309" s="5"/>
      <c r="Q309" s="5"/>
      <c r="R309" s="5"/>
    </row>
    <row r="310" spans="1:18" ht="19.5" customHeight="1">
      <c r="A310" s="28"/>
      <c r="B310" s="29"/>
      <c r="C310" s="29"/>
      <c r="D310" s="29"/>
      <c r="E310" s="30" t="s">
        <v>16</v>
      </c>
      <c r="F310" s="31" t="s">
        <v>17</v>
      </c>
      <c r="G310" s="34">
        <f>G312 +G331</f>
        <v>72833</v>
      </c>
      <c r="H310" s="34">
        <f>H312 +H331</f>
        <v>54866</v>
      </c>
      <c r="I310" s="34">
        <f>I312 +I331</f>
        <v>48268534</v>
      </c>
      <c r="J310" s="125">
        <f>J312 +J331</f>
        <v>1604104</v>
      </c>
      <c r="K310" s="5"/>
      <c r="L310" s="5"/>
      <c r="M310" s="124">
        <v>1534500</v>
      </c>
      <c r="N310" s="5"/>
      <c r="O310" s="5"/>
      <c r="P310" s="5"/>
      <c r="Q310" s="5"/>
      <c r="R310" s="5"/>
    </row>
    <row r="311" spans="1:18" ht="19.5" customHeight="1">
      <c r="A311" s="35">
        <v>25</v>
      </c>
      <c r="B311" s="36" t="s">
        <v>26</v>
      </c>
      <c r="C311" s="29"/>
      <c r="D311" s="29"/>
      <c r="E311" s="29"/>
      <c r="F311" s="33" t="s">
        <v>18</v>
      </c>
      <c r="G311" s="32"/>
      <c r="H311" s="32"/>
      <c r="I311" s="29"/>
      <c r="J311" s="5"/>
      <c r="K311" s="5"/>
      <c r="L311" s="5"/>
      <c r="M311" s="124">
        <v>1417784</v>
      </c>
      <c r="N311" s="5"/>
      <c r="O311" s="5"/>
      <c r="P311" s="5"/>
      <c r="Q311" s="5"/>
      <c r="R311" s="5"/>
    </row>
    <row r="312" spans="1:18" ht="19.5" customHeight="1">
      <c r="A312" s="28"/>
      <c r="B312" s="29"/>
      <c r="C312" s="29">
        <v>1</v>
      </c>
      <c r="D312" s="29"/>
      <c r="E312" s="29"/>
      <c r="F312" s="37" t="s">
        <v>19</v>
      </c>
      <c r="G312" s="38">
        <f>SUM(G313 +G319+G330  )</f>
        <v>72833</v>
      </c>
      <c r="H312" s="38">
        <f>SUM(H313 +H319+H330  )</f>
        <v>54866</v>
      </c>
      <c r="I312" s="38">
        <f>SUM(I313 +I319+I330  )</f>
        <v>48268534</v>
      </c>
      <c r="J312" s="126">
        <f>SUM(J313 +J319+J330  )</f>
        <v>360820</v>
      </c>
      <c r="K312" s="5"/>
      <c r="L312" s="116"/>
      <c r="M312" s="124">
        <v>53125</v>
      </c>
      <c r="N312" s="5"/>
      <c r="O312" s="5"/>
      <c r="P312" s="5"/>
      <c r="Q312" s="5"/>
      <c r="R312" s="5"/>
    </row>
    <row r="313" spans="1:18" ht="19.5" customHeight="1">
      <c r="A313" s="28"/>
      <c r="B313" s="29"/>
      <c r="C313" s="29"/>
      <c r="D313" s="29">
        <v>600.1</v>
      </c>
      <c r="E313" s="29"/>
      <c r="F313" s="37" t="s">
        <v>41</v>
      </c>
      <c r="G313" s="38">
        <f>SUM(G314 +G317  )</f>
        <v>53353</v>
      </c>
      <c r="H313" s="38">
        <f>SUM(H314 +H317  )</f>
        <v>39896</v>
      </c>
      <c r="I313" s="38">
        <f>SUM(I314 +I317  )</f>
        <v>33403397</v>
      </c>
      <c r="J313" s="126">
        <f>SUM(J314 +J317  )</f>
        <v>29118</v>
      </c>
      <c r="K313" s="71"/>
      <c r="L313" s="117"/>
      <c r="M313" s="124">
        <v>1010144</v>
      </c>
      <c r="N313" s="5"/>
      <c r="O313" s="5"/>
      <c r="P313" s="5"/>
      <c r="Q313" s="5"/>
      <c r="R313" s="5"/>
    </row>
    <row r="314" spans="1:18" ht="19.5" customHeight="1">
      <c r="A314" s="28"/>
      <c r="B314" s="29"/>
      <c r="C314" s="29"/>
      <c r="D314" s="29"/>
      <c r="E314" s="39">
        <v>600</v>
      </c>
      <c r="F314" s="31" t="s">
        <v>20</v>
      </c>
      <c r="G314" s="38">
        <f>SUM(G315:G316)</f>
        <v>46681</v>
      </c>
      <c r="H314" s="38">
        <v>33312</v>
      </c>
      <c r="I314" s="49">
        <f>SUM(I315:I316)</f>
        <v>28054525</v>
      </c>
      <c r="J314" s="5">
        <v>24560</v>
      </c>
      <c r="K314" s="5"/>
      <c r="L314" s="117"/>
      <c r="M314" s="5">
        <f>SUM(M306:M313)</f>
        <v>12146764</v>
      </c>
      <c r="N314" s="5"/>
      <c r="O314" s="118"/>
      <c r="P314" s="5"/>
      <c r="Q314" s="5"/>
      <c r="R314" s="5"/>
    </row>
    <row r="315" spans="1:18" ht="19.5" customHeight="1">
      <c r="A315" s="28"/>
      <c r="B315" s="29"/>
      <c r="C315" s="29"/>
      <c r="D315" s="29"/>
      <c r="E315" s="39"/>
      <c r="F315" s="33" t="s">
        <v>20</v>
      </c>
      <c r="G315" s="38">
        <v>44619</v>
      </c>
      <c r="H315" s="38"/>
      <c r="I315" s="40">
        <v>28054525</v>
      </c>
      <c r="J315" s="119">
        <v>23390</v>
      </c>
      <c r="K315" s="5"/>
      <c r="L315" s="120"/>
      <c r="M315" s="5"/>
      <c r="N315" s="5"/>
      <c r="O315" s="5"/>
      <c r="P315" s="5"/>
      <c r="Q315" s="5"/>
      <c r="R315" s="5"/>
    </row>
    <row r="316" spans="1:18" ht="19.5" customHeight="1">
      <c r="A316" s="28"/>
      <c r="B316" s="29"/>
      <c r="C316" s="29"/>
      <c r="D316" s="29"/>
      <c r="E316" s="39"/>
      <c r="F316" s="33" t="s">
        <v>21</v>
      </c>
      <c r="G316" s="38">
        <v>2062</v>
      </c>
      <c r="H316" s="38"/>
      <c r="I316" s="40">
        <v>0</v>
      </c>
      <c r="J316" s="119">
        <v>1170</v>
      </c>
      <c r="K316" s="5">
        <v>-168</v>
      </c>
      <c r="L316" s="120" t="s">
        <v>96</v>
      </c>
      <c r="M316" s="5"/>
      <c r="N316" s="116">
        <v>6102</v>
      </c>
      <c r="O316" s="5"/>
      <c r="P316" s="5"/>
      <c r="Q316" s="5"/>
      <c r="R316" s="5"/>
    </row>
    <row r="317" spans="1:18" ht="19.5" customHeight="1">
      <c r="A317" s="28"/>
      <c r="B317" s="29"/>
      <c r="C317" s="29"/>
      <c r="D317" s="29">
        <v>601</v>
      </c>
      <c r="E317" s="29"/>
      <c r="F317" s="31" t="s">
        <v>22</v>
      </c>
      <c r="G317" s="38">
        <v>6672</v>
      </c>
      <c r="H317" s="38">
        <v>6584</v>
      </c>
      <c r="I317" s="47">
        <v>5348872</v>
      </c>
      <c r="J317" s="5">
        <v>4558</v>
      </c>
      <c r="K317" s="5"/>
      <c r="L317" s="117" t="s">
        <v>112</v>
      </c>
      <c r="M317" s="5"/>
      <c r="N317" s="5">
        <v>-4711</v>
      </c>
      <c r="O317" s="118"/>
      <c r="P317" s="5"/>
      <c r="Q317" s="5"/>
      <c r="R317" s="5"/>
    </row>
    <row r="318" spans="1:18" ht="19.5" customHeight="1">
      <c r="A318" s="28"/>
      <c r="B318" s="29"/>
      <c r="C318" s="29"/>
      <c r="D318" s="29"/>
      <c r="E318" s="29"/>
      <c r="F318" s="31"/>
      <c r="G318" s="38"/>
      <c r="H318" s="38"/>
      <c r="I318" s="41"/>
      <c r="J318" s="5"/>
      <c r="K318" s="5"/>
      <c r="L318" s="5"/>
      <c r="M318" s="5"/>
      <c r="N318" s="116">
        <f>SUM(N316:N317)</f>
        <v>1391</v>
      </c>
      <c r="O318" s="118"/>
      <c r="P318" s="5"/>
      <c r="Q318" s="5"/>
      <c r="R318" s="5"/>
    </row>
    <row r="319" spans="1:18" ht="19.5" customHeight="1">
      <c r="A319" s="28"/>
      <c r="B319" s="29"/>
      <c r="C319" s="29"/>
      <c r="D319" s="29">
        <v>602</v>
      </c>
      <c r="E319" s="29"/>
      <c r="F319" s="42" t="s">
        <v>29</v>
      </c>
      <c r="G319" s="34">
        <v>19480</v>
      </c>
      <c r="H319" s="34">
        <v>14970</v>
      </c>
      <c r="I319" s="34">
        <f>SUM(I320:I327)</f>
        <v>14865137</v>
      </c>
      <c r="J319" s="121">
        <v>31702</v>
      </c>
      <c r="K319" s="122">
        <v>168</v>
      </c>
      <c r="L319" s="120" t="s">
        <v>96</v>
      </c>
      <c r="M319" s="122"/>
      <c r="N319" s="5"/>
      <c r="O319" s="5"/>
      <c r="P319" s="5"/>
      <c r="Q319" s="5"/>
      <c r="R319" s="5"/>
    </row>
    <row r="320" spans="1:18" ht="19.5" customHeight="1">
      <c r="A320" s="28"/>
      <c r="B320" s="29"/>
      <c r="C320" s="29"/>
      <c r="D320" s="29"/>
      <c r="E320" s="43">
        <v>602</v>
      </c>
      <c r="F320" s="33" t="s">
        <v>31</v>
      </c>
      <c r="G320" s="38"/>
      <c r="H320" s="38"/>
      <c r="I320" s="40">
        <v>416317</v>
      </c>
      <c r="J320" s="5"/>
      <c r="K320" s="5"/>
      <c r="L320" s="5"/>
      <c r="M320" s="5"/>
      <c r="N320" s="5"/>
      <c r="O320" s="5"/>
      <c r="P320" s="5"/>
      <c r="Q320" s="5"/>
      <c r="R320" s="5"/>
    </row>
    <row r="321" spans="1:18" ht="15" customHeight="1">
      <c r="A321" s="28"/>
      <c r="B321" s="29"/>
      <c r="C321" s="29"/>
      <c r="D321" s="29"/>
      <c r="E321" s="43">
        <v>602.20000000000005</v>
      </c>
      <c r="F321" s="33" t="s">
        <v>32</v>
      </c>
      <c r="G321" s="38"/>
      <c r="H321" s="38"/>
      <c r="I321" s="40">
        <v>2173763</v>
      </c>
      <c r="J321" s="5"/>
      <c r="K321" s="5"/>
      <c r="L321" s="5">
        <v>31870</v>
      </c>
      <c r="M321" s="5"/>
      <c r="N321" s="5"/>
      <c r="O321" s="5"/>
      <c r="P321" s="5"/>
      <c r="Q321" s="5"/>
      <c r="R321" s="5"/>
    </row>
    <row r="322" spans="1:18" ht="17.25" customHeight="1">
      <c r="A322" s="28"/>
      <c r="B322" s="29"/>
      <c r="C322" s="29"/>
      <c r="D322" s="29"/>
      <c r="E322" s="43" t="s">
        <v>33</v>
      </c>
      <c r="F322" s="33" t="s">
        <v>34</v>
      </c>
      <c r="G322" s="38"/>
      <c r="H322" s="38"/>
      <c r="I322" s="40">
        <v>2364858</v>
      </c>
      <c r="J322" s="5"/>
      <c r="K322" s="5"/>
      <c r="L322" s="5">
        <v>-20000</v>
      </c>
      <c r="M322" s="5"/>
      <c r="N322" s="5"/>
      <c r="O322" s="118"/>
      <c r="P322" s="5"/>
      <c r="Q322" s="5"/>
      <c r="R322" s="5"/>
    </row>
    <row r="323" spans="1:18" ht="16.5" customHeight="1">
      <c r="A323" s="28"/>
      <c r="B323" s="29"/>
      <c r="C323" s="29"/>
      <c r="D323" s="29"/>
      <c r="E323" s="43">
        <v>602.4</v>
      </c>
      <c r="F323" s="33" t="s">
        <v>35</v>
      </c>
      <c r="G323" s="38"/>
      <c r="H323" s="38"/>
      <c r="I323" s="40">
        <v>4050656</v>
      </c>
      <c r="J323" s="5"/>
      <c r="K323" s="5"/>
      <c r="L323" s="5">
        <f>SUM(L321:L322)</f>
        <v>11870</v>
      </c>
      <c r="M323" s="5"/>
      <c r="N323" s="5"/>
      <c r="O323" s="5"/>
      <c r="P323" s="5"/>
      <c r="Q323" s="5"/>
      <c r="R323" s="5"/>
    </row>
    <row r="324" spans="1:18" ht="15.75" customHeight="1">
      <c r="A324" s="28"/>
      <c r="B324" s="29"/>
      <c r="C324" s="29"/>
      <c r="D324" s="29"/>
      <c r="E324" s="43">
        <v>602.5</v>
      </c>
      <c r="F324" s="33" t="s">
        <v>36</v>
      </c>
      <c r="G324" s="38"/>
      <c r="H324" s="38"/>
      <c r="I324" s="40">
        <v>3251990</v>
      </c>
      <c r="J324" s="5"/>
      <c r="K324" s="5"/>
      <c r="L324" s="5"/>
      <c r="M324" s="5"/>
      <c r="N324" s="5"/>
      <c r="O324" s="5"/>
      <c r="P324" s="5"/>
      <c r="Q324" s="5"/>
      <c r="R324" s="5"/>
    </row>
    <row r="325" spans="1:18" ht="16.5" customHeight="1">
      <c r="A325" s="28"/>
      <c r="B325" s="29"/>
      <c r="C325" s="29"/>
      <c r="D325" s="29"/>
      <c r="E325" s="43">
        <v>602.6</v>
      </c>
      <c r="F325" s="33" t="s">
        <v>37</v>
      </c>
      <c r="G325" s="38"/>
      <c r="H325" s="38"/>
      <c r="I325" s="40">
        <v>53125</v>
      </c>
      <c r="J325" s="71"/>
      <c r="K325" s="5"/>
      <c r="L325" s="5"/>
      <c r="M325" s="71"/>
      <c r="N325" s="5"/>
      <c r="O325" s="5"/>
      <c r="P325" s="5"/>
      <c r="Q325" s="5"/>
      <c r="R325" s="5"/>
    </row>
    <row r="326" spans="1:18">
      <c r="A326" s="28"/>
      <c r="B326" s="29"/>
      <c r="C326" s="29"/>
      <c r="D326" s="29"/>
      <c r="E326" s="43">
        <v>602.70000000000005</v>
      </c>
      <c r="F326" s="33" t="s">
        <v>38</v>
      </c>
      <c r="G326" s="38"/>
      <c r="H326" s="38"/>
      <c r="I326" s="40">
        <v>1010144</v>
      </c>
      <c r="J326" s="5"/>
      <c r="K326" s="5"/>
      <c r="L326" s="5"/>
      <c r="M326" s="127">
        <v>416317</v>
      </c>
      <c r="N326" s="128" t="s">
        <v>98</v>
      </c>
      <c r="O326" s="5"/>
      <c r="P326" s="5"/>
      <c r="Q326" s="5"/>
      <c r="R326" s="5"/>
    </row>
    <row r="327" spans="1:18">
      <c r="A327" s="28"/>
      <c r="B327" s="29"/>
      <c r="C327" s="29"/>
      <c r="D327" s="29"/>
      <c r="E327" s="43">
        <v>602.9</v>
      </c>
      <c r="F327" s="33" t="s">
        <v>39</v>
      </c>
      <c r="G327" s="38"/>
      <c r="H327" s="38"/>
      <c r="I327" s="40">
        <v>1544284</v>
      </c>
      <c r="J327" s="5">
        <v>826948</v>
      </c>
      <c r="K327" s="5"/>
      <c r="L327" s="5"/>
      <c r="M327" s="129">
        <v>1830515</v>
      </c>
      <c r="N327" s="128" t="s">
        <v>99</v>
      </c>
      <c r="O327" s="5"/>
      <c r="P327" s="5"/>
      <c r="Q327" s="5"/>
      <c r="R327" s="5"/>
    </row>
    <row r="328" spans="1:18" ht="15.75" customHeight="1">
      <c r="A328" s="28"/>
      <c r="B328" s="29"/>
      <c r="C328" s="29"/>
      <c r="D328" s="29"/>
      <c r="E328" s="43"/>
      <c r="F328" s="33" t="s">
        <v>50</v>
      </c>
      <c r="G328" s="38"/>
      <c r="H328" s="38"/>
      <c r="I328" s="40">
        <v>953448</v>
      </c>
      <c r="J328" s="5">
        <v>116336</v>
      </c>
      <c r="K328" s="148">
        <v>10164</v>
      </c>
      <c r="L328" s="5"/>
      <c r="M328" s="129">
        <v>2274858</v>
      </c>
      <c r="N328" s="128" t="s">
        <v>100</v>
      </c>
      <c r="O328" s="5"/>
      <c r="P328" s="5"/>
      <c r="Q328" s="5"/>
      <c r="R328" s="5"/>
    </row>
    <row r="329" spans="1:18" ht="15.75" customHeight="1">
      <c r="A329" s="28"/>
      <c r="B329" s="29"/>
      <c r="C329" s="29"/>
      <c r="D329" s="29"/>
      <c r="E329" s="43"/>
      <c r="F329" s="33" t="s">
        <v>40</v>
      </c>
      <c r="G329" s="38"/>
      <c r="H329" s="38"/>
      <c r="I329" s="40">
        <v>300000</v>
      </c>
      <c r="J329" s="118">
        <f>SUM(J327:J328)</f>
        <v>943284</v>
      </c>
      <c r="K329" s="5"/>
      <c r="L329" s="5"/>
      <c r="M329" s="129">
        <v>3609521</v>
      </c>
      <c r="N329" s="128" t="s">
        <v>101</v>
      </c>
      <c r="O329" s="5"/>
      <c r="P329" s="5"/>
      <c r="Q329" s="5"/>
      <c r="R329" s="5"/>
    </row>
    <row r="330" spans="1:18" ht="15" customHeight="1">
      <c r="A330" s="28"/>
      <c r="B330" s="29"/>
      <c r="C330" s="29"/>
      <c r="D330" s="30">
        <v>604</v>
      </c>
      <c r="E330" s="44"/>
      <c r="F330" s="37" t="s">
        <v>42</v>
      </c>
      <c r="G330" s="38"/>
      <c r="H330" s="38"/>
      <c r="I330" s="38">
        <v>0</v>
      </c>
      <c r="J330" s="5">
        <v>300000</v>
      </c>
      <c r="K330" s="5"/>
      <c r="L330" s="5"/>
      <c r="M330" s="129">
        <v>1534500</v>
      </c>
      <c r="N330" s="128" t="s">
        <v>102</v>
      </c>
      <c r="O330" s="5"/>
      <c r="P330" s="5"/>
      <c r="Q330" s="5"/>
      <c r="R330" s="5"/>
    </row>
    <row r="331" spans="1:18" ht="15.75" customHeight="1">
      <c r="A331" s="28"/>
      <c r="B331" s="29">
        <v>15</v>
      </c>
      <c r="C331" s="29"/>
      <c r="D331" s="29">
        <v>231</v>
      </c>
      <c r="E331" s="30" t="s">
        <v>23</v>
      </c>
      <c r="F331" s="37" t="s">
        <v>24</v>
      </c>
      <c r="G331" s="34">
        <f>SUM(G332 )</f>
        <v>0</v>
      </c>
      <c r="H331" s="34"/>
      <c r="I331" s="34">
        <f>SUM(I332 )</f>
        <v>0</v>
      </c>
      <c r="J331" s="118">
        <f>SUM(J329:J330)</f>
        <v>1243284</v>
      </c>
      <c r="K331" s="5"/>
      <c r="L331" s="5"/>
      <c r="M331" s="129">
        <v>1417784</v>
      </c>
      <c r="N331" s="128" t="s">
        <v>103</v>
      </c>
      <c r="O331" s="5"/>
      <c r="P331" s="5"/>
      <c r="Q331" s="5"/>
      <c r="R331" s="5"/>
    </row>
    <row r="332" spans="1:18" ht="15.75" customHeight="1">
      <c r="A332" s="28"/>
      <c r="B332" s="29"/>
      <c r="C332" s="29"/>
      <c r="D332" s="29">
        <v>231</v>
      </c>
      <c r="E332" s="29"/>
      <c r="F332" s="33" t="s">
        <v>46</v>
      </c>
      <c r="G332" s="45"/>
      <c r="H332" s="45"/>
      <c r="I332" s="40"/>
      <c r="J332" s="149">
        <v>168000</v>
      </c>
      <c r="K332" s="5"/>
      <c r="L332" s="5"/>
      <c r="M332" s="129">
        <v>53125</v>
      </c>
      <c r="N332" s="128" t="s">
        <v>104</v>
      </c>
      <c r="O332" s="5"/>
      <c r="P332" s="5"/>
      <c r="Q332" s="5"/>
      <c r="R332" s="5"/>
    </row>
    <row r="333" spans="1:18" ht="15.75" customHeight="1">
      <c r="A333" s="33"/>
      <c r="B333" s="33"/>
      <c r="C333" s="33"/>
      <c r="D333" s="30"/>
      <c r="E333" s="37"/>
      <c r="F333" s="37"/>
      <c r="G333" s="38"/>
      <c r="H333" s="37"/>
      <c r="I333" s="38">
        <v>0</v>
      </c>
      <c r="J333" s="118">
        <f>SUM(J331:J332)</f>
        <v>1411284</v>
      </c>
      <c r="K333" s="5"/>
      <c r="L333" s="5"/>
      <c r="M333" s="129">
        <v>1010144</v>
      </c>
      <c r="N333" s="130" t="s">
        <v>105</v>
      </c>
      <c r="O333" s="5"/>
      <c r="P333" s="5"/>
      <c r="Q333" s="5"/>
      <c r="R333" s="5"/>
    </row>
    <row r="334" spans="1:18" ht="16.5" customHeight="1">
      <c r="A334" s="46" t="s">
        <v>45</v>
      </c>
      <c r="B334" s="13"/>
      <c r="C334" s="13"/>
      <c r="D334" s="13"/>
      <c r="E334" s="13"/>
      <c r="F334" s="46" t="s">
        <v>97</v>
      </c>
      <c r="G334" s="13"/>
      <c r="H334" s="13"/>
      <c r="I334" s="12"/>
      <c r="J334" s="5">
        <v>-1534120</v>
      </c>
      <c r="K334" s="5"/>
      <c r="L334" s="5"/>
      <c r="M334" s="131">
        <f>SUM(M326:M333)</f>
        <v>12146764</v>
      </c>
      <c r="N334" s="132" t="s">
        <v>79</v>
      </c>
      <c r="O334" s="5"/>
      <c r="P334" s="5"/>
      <c r="Q334" s="5"/>
      <c r="R334" s="5"/>
    </row>
    <row r="335" spans="1:18" ht="17.25" customHeight="1">
      <c r="A335" s="9" t="s">
        <v>30</v>
      </c>
      <c r="B335" s="9" t="s">
        <v>28</v>
      </c>
      <c r="C335" s="10"/>
      <c r="D335" s="12"/>
      <c r="E335" s="12"/>
      <c r="F335" s="46" t="s">
        <v>44</v>
      </c>
      <c r="G335" s="13"/>
      <c r="H335" s="13"/>
      <c r="I335" s="12"/>
      <c r="J335" s="118">
        <f>SUM(J333:J334)</f>
        <v>-122836</v>
      </c>
      <c r="K335" s="5"/>
      <c r="L335" s="5"/>
      <c r="M335" s="5"/>
      <c r="N335" s="5"/>
      <c r="O335" s="5"/>
      <c r="P335" s="5"/>
      <c r="Q335" s="5"/>
      <c r="R335" s="5"/>
    </row>
    <row r="336" spans="1:18">
      <c r="A336" s="12"/>
      <c r="B336" s="12"/>
      <c r="C336" s="12"/>
      <c r="D336" s="12"/>
      <c r="E336" s="12"/>
      <c r="F336" s="12"/>
      <c r="G336" s="12"/>
      <c r="H336" s="12"/>
      <c r="I336" s="12"/>
      <c r="J336" s="5"/>
      <c r="K336" s="5"/>
      <c r="L336" s="5"/>
      <c r="M336" s="5"/>
      <c r="N336" s="5"/>
      <c r="O336" s="5"/>
      <c r="P336" s="5"/>
      <c r="Q336" s="5"/>
      <c r="R336" s="5"/>
    </row>
    <row r="337" spans="1:18">
      <c r="A337" s="4"/>
    </row>
    <row r="338" spans="1:18" ht="17.25" customHeight="1">
      <c r="A338" s="9" t="s">
        <v>0</v>
      </c>
      <c r="B338" s="9"/>
      <c r="C338" s="9"/>
      <c r="D338" s="9"/>
      <c r="E338" s="9"/>
      <c r="F338" s="9"/>
      <c r="G338" s="9"/>
      <c r="H338" s="9"/>
      <c r="I338" s="9"/>
    </row>
    <row r="339" spans="1:18" ht="13.5" customHeight="1">
      <c r="A339" s="9" t="s">
        <v>1</v>
      </c>
      <c r="B339" s="9"/>
      <c r="C339" s="9"/>
      <c r="D339" s="9"/>
      <c r="E339" s="9"/>
      <c r="F339" s="9"/>
      <c r="G339" s="10"/>
      <c r="H339" s="10"/>
      <c r="I339" s="10"/>
    </row>
    <row r="340" spans="1:18" ht="14.25" customHeight="1">
      <c r="A340" s="9" t="s">
        <v>27</v>
      </c>
      <c r="B340" s="9"/>
      <c r="C340" s="9"/>
      <c r="D340" s="9"/>
      <c r="E340" s="9"/>
      <c r="F340" s="9"/>
      <c r="G340" s="9"/>
      <c r="H340" s="9"/>
      <c r="I340" s="9"/>
    </row>
    <row r="341" spans="1:18" ht="13.5">
      <c r="A341" s="11" t="s">
        <v>2</v>
      </c>
      <c r="B341" s="11"/>
      <c r="C341" s="11"/>
      <c r="D341" s="11"/>
      <c r="E341" s="11"/>
      <c r="F341" s="9"/>
      <c r="G341" s="10"/>
      <c r="H341" s="10"/>
      <c r="I341" s="10"/>
    </row>
    <row r="342" spans="1:18" ht="12.75" customHeight="1">
      <c r="A342" s="9"/>
      <c r="B342" s="9"/>
      <c r="C342" s="9"/>
      <c r="D342" s="9"/>
      <c r="E342" s="9"/>
      <c r="F342" s="9"/>
      <c r="G342" s="10"/>
      <c r="H342" s="10"/>
      <c r="I342" s="9"/>
    </row>
    <row r="343" spans="1:18" ht="15.75" customHeight="1">
      <c r="A343" s="52" t="s">
        <v>116</v>
      </c>
      <c r="B343" s="50"/>
      <c r="C343" s="51"/>
      <c r="D343" s="51"/>
      <c r="E343" s="51"/>
      <c r="F343" s="51"/>
      <c r="G343" s="51"/>
      <c r="H343" s="51"/>
      <c r="I343" s="11"/>
    </row>
    <row r="344" spans="1:18" ht="19.5" customHeight="1">
      <c r="A344" s="14"/>
      <c r="B344" s="14"/>
      <c r="C344" s="14"/>
      <c r="D344" s="14"/>
      <c r="E344" s="14"/>
      <c r="F344" s="14"/>
      <c r="G344" s="14"/>
      <c r="H344" s="14"/>
      <c r="I344" s="14"/>
    </row>
    <row r="345" spans="1:18" ht="19.5" customHeight="1">
      <c r="A345" s="15" t="s">
        <v>3</v>
      </c>
      <c r="B345" s="16" t="s">
        <v>4</v>
      </c>
      <c r="C345" s="17" t="s">
        <v>5</v>
      </c>
      <c r="D345" s="18" t="s">
        <v>6</v>
      </c>
      <c r="E345" s="18" t="s">
        <v>7</v>
      </c>
      <c r="F345" s="15" t="s">
        <v>8</v>
      </c>
      <c r="G345" s="19" t="s">
        <v>25</v>
      </c>
      <c r="H345" s="19" t="s">
        <v>25</v>
      </c>
      <c r="I345" s="20" t="s">
        <v>48</v>
      </c>
    </row>
    <row r="346" spans="1:18" ht="19.5" customHeight="1">
      <c r="A346" s="21"/>
      <c r="B346" s="22"/>
      <c r="C346" s="23"/>
      <c r="D346" s="24"/>
      <c r="E346" s="25"/>
      <c r="F346" s="21"/>
      <c r="G346" s="26" t="s">
        <v>49</v>
      </c>
      <c r="H346" s="26" t="s">
        <v>115</v>
      </c>
      <c r="I346" s="27" t="s">
        <v>47</v>
      </c>
    </row>
    <row r="347" spans="1:18" ht="19.5" customHeight="1">
      <c r="A347" s="28"/>
      <c r="B347" s="29"/>
      <c r="C347" s="29"/>
      <c r="D347" s="29"/>
      <c r="E347" s="30" t="s">
        <v>9</v>
      </c>
      <c r="F347" s="31" t="s">
        <v>10</v>
      </c>
      <c r="G347" s="29" t="s">
        <v>11</v>
      </c>
      <c r="H347" s="29"/>
      <c r="I347" s="32"/>
    </row>
    <row r="348" spans="1:18" ht="19.5" customHeight="1">
      <c r="A348" s="28"/>
      <c r="B348" s="29"/>
      <c r="C348" s="29"/>
      <c r="D348" s="29"/>
      <c r="E348" s="29">
        <v>1</v>
      </c>
      <c r="F348" s="33" t="s">
        <v>12</v>
      </c>
      <c r="G348" s="29"/>
      <c r="H348" s="29"/>
      <c r="I348" s="33"/>
      <c r="M348" s="123">
        <v>416317</v>
      </c>
    </row>
    <row r="349" spans="1:18" ht="19.5" customHeight="1">
      <c r="A349" s="28"/>
      <c r="B349" s="29"/>
      <c r="C349" s="29"/>
      <c r="D349" s="29"/>
      <c r="E349" s="29">
        <v>2</v>
      </c>
      <c r="F349" s="33" t="s">
        <v>13</v>
      </c>
      <c r="G349" s="29"/>
      <c r="H349" s="29"/>
      <c r="I349" s="33"/>
      <c r="J349" s="5"/>
      <c r="K349" s="5"/>
      <c r="L349" s="5"/>
      <c r="M349" s="124">
        <v>1830515</v>
      </c>
      <c r="N349" s="5"/>
      <c r="O349" s="5"/>
      <c r="P349" s="5"/>
      <c r="Q349" s="5"/>
      <c r="R349" s="5"/>
    </row>
    <row r="350" spans="1:18" ht="19.5" customHeight="1">
      <c r="A350" s="28"/>
      <c r="B350" s="29"/>
      <c r="C350" s="29"/>
      <c r="D350" s="29"/>
      <c r="E350" s="29">
        <v>3</v>
      </c>
      <c r="F350" s="33" t="s">
        <v>14</v>
      </c>
      <c r="G350" s="29"/>
      <c r="H350" s="29"/>
      <c r="I350" s="33"/>
      <c r="J350" s="5"/>
      <c r="K350" s="5"/>
      <c r="L350" s="5"/>
      <c r="M350" s="124">
        <v>2274858</v>
      </c>
      <c r="N350" s="5"/>
      <c r="O350" s="5"/>
      <c r="P350" s="5"/>
      <c r="Q350" s="5"/>
      <c r="R350" s="5"/>
    </row>
    <row r="351" spans="1:18" ht="19.5" customHeight="1">
      <c r="A351" s="28"/>
      <c r="B351" s="29"/>
      <c r="C351" s="29"/>
      <c r="D351" s="29"/>
      <c r="E351" s="29">
        <v>4</v>
      </c>
      <c r="F351" s="33" t="s">
        <v>15</v>
      </c>
      <c r="G351" s="28"/>
      <c r="H351" s="28"/>
      <c r="I351" s="33"/>
      <c r="J351" s="5"/>
      <c r="K351" s="5"/>
      <c r="L351" s="5"/>
      <c r="M351" s="124">
        <v>3609521</v>
      </c>
      <c r="N351" s="5"/>
      <c r="O351" s="5"/>
      <c r="P351" s="5"/>
      <c r="Q351" s="5"/>
      <c r="R351" s="5"/>
    </row>
    <row r="352" spans="1:18" ht="19.5" customHeight="1">
      <c r="A352" s="28"/>
      <c r="B352" s="29"/>
      <c r="C352" s="29"/>
      <c r="D352" s="29"/>
      <c r="E352" s="30" t="s">
        <v>16</v>
      </c>
      <c r="F352" s="31" t="s">
        <v>17</v>
      </c>
      <c r="G352" s="34">
        <f>G354 +G373</f>
        <v>68101</v>
      </c>
      <c r="H352" s="34">
        <f>H354 +H373</f>
        <v>56064</v>
      </c>
      <c r="I352" s="34">
        <f>I354 +I373</f>
        <v>53083051</v>
      </c>
      <c r="J352" s="125">
        <f>J354 +J373</f>
        <v>1604104</v>
      </c>
      <c r="K352" s="5"/>
      <c r="L352" s="5"/>
      <c r="M352" s="124">
        <v>1534500</v>
      </c>
      <c r="N352" s="5"/>
      <c r="O352" s="5"/>
      <c r="P352" s="5"/>
      <c r="Q352" s="5"/>
      <c r="R352" s="5"/>
    </row>
    <row r="353" spans="1:18" ht="19.5" customHeight="1">
      <c r="A353" s="35">
        <v>25</v>
      </c>
      <c r="B353" s="36" t="s">
        <v>26</v>
      </c>
      <c r="C353" s="29"/>
      <c r="D353" s="29"/>
      <c r="E353" s="29"/>
      <c r="F353" s="33" t="s">
        <v>18</v>
      </c>
      <c r="G353" s="32"/>
      <c r="H353" s="32"/>
      <c r="I353" s="29"/>
      <c r="J353" s="5"/>
      <c r="K353" s="5"/>
      <c r="L353" s="5"/>
      <c r="M353" s="124">
        <v>1417784</v>
      </c>
      <c r="N353" s="5"/>
      <c r="O353" s="5"/>
      <c r="P353" s="5"/>
      <c r="Q353" s="5"/>
      <c r="R353" s="5"/>
    </row>
    <row r="354" spans="1:18" ht="19.5" customHeight="1">
      <c r="A354" s="28"/>
      <c r="B354" s="29"/>
      <c r="C354" s="29">
        <v>1</v>
      </c>
      <c r="D354" s="29"/>
      <c r="E354" s="29"/>
      <c r="F354" s="37" t="s">
        <v>19</v>
      </c>
      <c r="G354" s="38">
        <f>SUM(G355 +G361+G372  )</f>
        <v>68101</v>
      </c>
      <c r="H354" s="38">
        <f>SUM(H355 +H361+H372  )</f>
        <v>56064</v>
      </c>
      <c r="I354" s="38">
        <f>SUM(I355 +I361+I372  )</f>
        <v>53083051</v>
      </c>
      <c r="J354" s="126">
        <f>SUM(J355 +J361+J372  )</f>
        <v>360820</v>
      </c>
      <c r="K354" s="5"/>
      <c r="L354" s="116"/>
      <c r="M354" s="124">
        <v>53125</v>
      </c>
      <c r="N354" s="5"/>
      <c r="O354" s="5"/>
      <c r="P354" s="5"/>
      <c r="Q354" s="5"/>
      <c r="R354" s="5"/>
    </row>
    <row r="355" spans="1:18" ht="19.5" customHeight="1">
      <c r="A355" s="28"/>
      <c r="B355" s="29"/>
      <c r="C355" s="29"/>
      <c r="D355" s="29">
        <v>600.1</v>
      </c>
      <c r="E355" s="29"/>
      <c r="F355" s="37" t="s">
        <v>41</v>
      </c>
      <c r="G355" s="38">
        <f>SUM(G356 +G359  )</f>
        <v>48453</v>
      </c>
      <c r="H355" s="38">
        <f>SUM(H356 +H359  )</f>
        <v>39544</v>
      </c>
      <c r="I355" s="38">
        <f>SUM(I356 +I359  )</f>
        <v>36850439</v>
      </c>
      <c r="J355" s="126">
        <f>SUM(J356 +J359  )</f>
        <v>29118</v>
      </c>
      <c r="K355" s="71"/>
      <c r="L355" s="117"/>
      <c r="M355" s="124">
        <v>1010144</v>
      </c>
      <c r="N355" s="5"/>
      <c r="O355" s="5"/>
      <c r="P355" s="5"/>
      <c r="Q355" s="5"/>
      <c r="R355" s="5"/>
    </row>
    <row r="356" spans="1:18" ht="19.5" customHeight="1">
      <c r="A356" s="28"/>
      <c r="B356" s="29"/>
      <c r="C356" s="29"/>
      <c r="D356" s="29"/>
      <c r="E356" s="39">
        <v>600</v>
      </c>
      <c r="F356" s="31" t="s">
        <v>20</v>
      </c>
      <c r="G356" s="38">
        <f>SUM(G357:G358)</f>
        <v>41781</v>
      </c>
      <c r="H356" s="38">
        <v>32872</v>
      </c>
      <c r="I356" s="49">
        <f>SUM(I357:I358)</f>
        <v>30926260</v>
      </c>
      <c r="J356" s="5">
        <v>24560</v>
      </c>
      <c r="K356" s="5"/>
      <c r="L356" s="117"/>
      <c r="M356" s="5">
        <f>SUM(M348:M355)</f>
        <v>12146764</v>
      </c>
      <c r="N356" s="5"/>
      <c r="O356" s="118"/>
      <c r="P356" s="5"/>
      <c r="Q356" s="5"/>
      <c r="R356" s="5"/>
    </row>
    <row r="357" spans="1:18" ht="19.5" customHeight="1">
      <c r="A357" s="28"/>
      <c r="B357" s="29"/>
      <c r="C357" s="29"/>
      <c r="D357" s="29"/>
      <c r="E357" s="39"/>
      <c r="F357" s="33" t="s">
        <v>20</v>
      </c>
      <c r="G357" s="38">
        <v>39951</v>
      </c>
      <c r="H357" s="38"/>
      <c r="I357" s="40">
        <v>30926260</v>
      </c>
      <c r="J357" s="119">
        <v>23390</v>
      </c>
      <c r="K357" s="5"/>
      <c r="L357" s="120"/>
      <c r="M357" s="5"/>
      <c r="N357" s="5"/>
      <c r="O357" s="5"/>
      <c r="P357" s="5"/>
      <c r="Q357" s="5"/>
      <c r="R357" s="5"/>
    </row>
    <row r="358" spans="1:18" ht="19.5" customHeight="1">
      <c r="A358" s="28"/>
      <c r="B358" s="29"/>
      <c r="C358" s="29"/>
      <c r="D358" s="29"/>
      <c r="E358" s="39"/>
      <c r="F358" s="33" t="s">
        <v>21</v>
      </c>
      <c r="G358" s="38">
        <v>1830</v>
      </c>
      <c r="H358" s="38"/>
      <c r="I358" s="40">
        <v>0</v>
      </c>
      <c r="J358" s="119">
        <v>1170</v>
      </c>
      <c r="K358" s="5">
        <v>-168</v>
      </c>
      <c r="L358" s="120" t="s">
        <v>96</v>
      </c>
      <c r="M358" s="5"/>
      <c r="N358" s="116">
        <v>6102</v>
      </c>
      <c r="O358" s="5"/>
      <c r="P358" s="5"/>
      <c r="Q358" s="5"/>
      <c r="R358" s="5"/>
    </row>
    <row r="359" spans="1:18" ht="19.5" customHeight="1">
      <c r="A359" s="28"/>
      <c r="B359" s="29"/>
      <c r="C359" s="29"/>
      <c r="D359" s="29">
        <v>601</v>
      </c>
      <c r="E359" s="29"/>
      <c r="F359" s="31" t="s">
        <v>22</v>
      </c>
      <c r="G359" s="38">
        <v>6672</v>
      </c>
      <c r="H359" s="38">
        <v>6672</v>
      </c>
      <c r="I359" s="47">
        <v>5924179</v>
      </c>
      <c r="J359" s="5">
        <v>4558</v>
      </c>
      <c r="K359" s="5"/>
      <c r="L359" s="117" t="s">
        <v>112</v>
      </c>
      <c r="M359" s="5"/>
      <c r="N359" s="5">
        <v>-4711</v>
      </c>
      <c r="O359" s="118"/>
      <c r="P359" s="5"/>
      <c r="Q359" s="5"/>
      <c r="R359" s="5"/>
    </row>
    <row r="360" spans="1:18" ht="19.5" customHeight="1">
      <c r="A360" s="28"/>
      <c r="B360" s="29"/>
      <c r="C360" s="29"/>
      <c r="D360" s="29"/>
      <c r="E360" s="29"/>
      <c r="F360" s="31"/>
      <c r="G360" s="38"/>
      <c r="H360" s="38"/>
      <c r="I360" s="41"/>
      <c r="J360" s="5"/>
      <c r="K360" s="5"/>
      <c r="L360" s="5"/>
      <c r="M360" s="5"/>
      <c r="N360" s="116">
        <f>SUM(N358:N359)</f>
        <v>1391</v>
      </c>
      <c r="O360" s="118"/>
      <c r="P360" s="5"/>
      <c r="Q360" s="5"/>
      <c r="R360" s="5"/>
    </row>
    <row r="361" spans="1:18" ht="19.5" customHeight="1">
      <c r="A361" s="28"/>
      <c r="B361" s="29"/>
      <c r="C361" s="29"/>
      <c r="D361" s="29">
        <v>602</v>
      </c>
      <c r="E361" s="29"/>
      <c r="F361" s="42" t="s">
        <v>29</v>
      </c>
      <c r="G361" s="34">
        <v>19648</v>
      </c>
      <c r="H361" s="34">
        <v>16520</v>
      </c>
      <c r="I361" s="34">
        <f>SUM(I362:I369)</f>
        <v>16232612</v>
      </c>
      <c r="J361" s="121">
        <v>31702</v>
      </c>
      <c r="K361" s="122">
        <v>168</v>
      </c>
      <c r="L361" s="120" t="s">
        <v>96</v>
      </c>
      <c r="M361" s="122"/>
      <c r="N361" s="5"/>
      <c r="O361" s="5"/>
      <c r="P361" s="5"/>
      <c r="Q361" s="5"/>
      <c r="R361" s="5"/>
    </row>
    <row r="362" spans="1:18" ht="19.5" customHeight="1">
      <c r="A362" s="28"/>
      <c r="B362" s="29"/>
      <c r="C362" s="29"/>
      <c r="D362" s="29"/>
      <c r="E362" s="43">
        <v>602</v>
      </c>
      <c r="F362" s="33" t="s">
        <v>31</v>
      </c>
      <c r="G362" s="38"/>
      <c r="H362" s="38"/>
      <c r="I362" s="40">
        <v>452317</v>
      </c>
      <c r="J362" s="5"/>
      <c r="K362" s="5"/>
      <c r="L362" s="5"/>
      <c r="M362" s="5"/>
      <c r="N362" s="5"/>
      <c r="O362" s="5"/>
      <c r="P362" s="5"/>
      <c r="Q362" s="5"/>
      <c r="R362" s="5"/>
    </row>
    <row r="363" spans="1:18" ht="15" customHeight="1">
      <c r="A363" s="28"/>
      <c r="B363" s="29"/>
      <c r="C363" s="29"/>
      <c r="D363" s="29"/>
      <c r="E363" s="43">
        <v>602.20000000000005</v>
      </c>
      <c r="F363" s="33" t="s">
        <v>32</v>
      </c>
      <c r="G363" s="38"/>
      <c r="H363" s="38"/>
      <c r="I363" s="40">
        <v>2618362</v>
      </c>
      <c r="J363" s="5"/>
      <c r="K363" s="5"/>
      <c r="L363" s="5">
        <v>31870</v>
      </c>
      <c r="M363" s="5"/>
      <c r="N363" s="5"/>
      <c r="O363" s="5"/>
      <c r="P363" s="5"/>
      <c r="Q363" s="5"/>
      <c r="R363" s="5"/>
    </row>
    <row r="364" spans="1:18" ht="17.25" customHeight="1">
      <c r="A364" s="28"/>
      <c r="B364" s="29"/>
      <c r="C364" s="29"/>
      <c r="D364" s="29"/>
      <c r="E364" s="43" t="s">
        <v>33</v>
      </c>
      <c r="F364" s="33" t="s">
        <v>34</v>
      </c>
      <c r="G364" s="38"/>
      <c r="H364" s="38"/>
      <c r="I364" s="40">
        <v>2364858</v>
      </c>
      <c r="J364" s="5"/>
      <c r="K364" s="5"/>
      <c r="L364" s="5">
        <v>-20000</v>
      </c>
      <c r="M364" s="5"/>
      <c r="N364" s="5"/>
      <c r="O364" s="118"/>
      <c r="P364" s="5"/>
      <c r="Q364" s="5"/>
      <c r="R364" s="5"/>
    </row>
    <row r="365" spans="1:18" ht="16.5" customHeight="1">
      <c r="A365" s="28"/>
      <c r="B365" s="29"/>
      <c r="C365" s="29"/>
      <c r="D365" s="29"/>
      <c r="E365" s="43">
        <v>602.4</v>
      </c>
      <c r="F365" s="33" t="s">
        <v>35</v>
      </c>
      <c r="G365" s="38"/>
      <c r="H365" s="38"/>
      <c r="I365" s="40">
        <v>4485196</v>
      </c>
      <c r="J365" s="5"/>
      <c r="K365" s="5"/>
      <c r="L365" s="5">
        <f>SUM(L363:L364)</f>
        <v>11870</v>
      </c>
      <c r="M365" s="5"/>
      <c r="N365" s="5"/>
      <c r="O365" s="5"/>
      <c r="P365" s="5"/>
      <c r="Q365" s="5"/>
      <c r="R365" s="5"/>
    </row>
    <row r="366" spans="1:18" ht="15.75" customHeight="1">
      <c r="A366" s="28"/>
      <c r="B366" s="29"/>
      <c r="C366" s="29"/>
      <c r="D366" s="29"/>
      <c r="E366" s="43">
        <v>602.5</v>
      </c>
      <c r="F366" s="33" t="s">
        <v>36</v>
      </c>
      <c r="G366" s="38"/>
      <c r="H366" s="38"/>
      <c r="I366" s="40">
        <v>3587990</v>
      </c>
      <c r="J366" s="5"/>
      <c r="K366" s="5"/>
      <c r="L366" s="5"/>
      <c r="M366" s="5"/>
      <c r="N366" s="5"/>
      <c r="O366" s="5"/>
      <c r="P366" s="5"/>
      <c r="Q366" s="5"/>
      <c r="R366" s="5"/>
    </row>
    <row r="367" spans="1:18" ht="16.5" customHeight="1">
      <c r="A367" s="28"/>
      <c r="B367" s="29"/>
      <c r="C367" s="29"/>
      <c r="D367" s="29"/>
      <c r="E367" s="43">
        <v>602.6</v>
      </c>
      <c r="F367" s="33" t="s">
        <v>37</v>
      </c>
      <c r="G367" s="38"/>
      <c r="H367" s="38"/>
      <c r="I367" s="40">
        <v>53125</v>
      </c>
      <c r="J367" s="71"/>
      <c r="K367" s="5"/>
      <c r="L367" s="5"/>
      <c r="M367" s="71"/>
      <c r="N367" s="5"/>
      <c r="O367" s="5"/>
      <c r="P367" s="5"/>
      <c r="Q367" s="5"/>
      <c r="R367" s="5"/>
    </row>
    <row r="368" spans="1:18">
      <c r="A368" s="28"/>
      <c r="B368" s="29"/>
      <c r="C368" s="29"/>
      <c r="D368" s="29"/>
      <c r="E368" s="43">
        <v>602.70000000000005</v>
      </c>
      <c r="F368" s="33" t="s">
        <v>38</v>
      </c>
      <c r="G368" s="38"/>
      <c r="H368" s="38"/>
      <c r="I368" s="40">
        <v>1010144</v>
      </c>
      <c r="J368" s="5"/>
      <c r="K368" s="5"/>
      <c r="L368" s="5"/>
      <c r="M368" s="127">
        <v>416317</v>
      </c>
      <c r="N368" s="128" t="s">
        <v>98</v>
      </c>
      <c r="O368" s="5"/>
      <c r="P368" s="5"/>
      <c r="Q368" s="5"/>
      <c r="R368" s="5"/>
    </row>
    <row r="369" spans="1:18">
      <c r="A369" s="28"/>
      <c r="B369" s="29"/>
      <c r="C369" s="29"/>
      <c r="D369" s="29"/>
      <c r="E369" s="43">
        <v>602.9</v>
      </c>
      <c r="F369" s="33" t="s">
        <v>39</v>
      </c>
      <c r="G369" s="38"/>
      <c r="H369" s="38"/>
      <c r="I369" s="40">
        <v>1660620</v>
      </c>
      <c r="J369" s="5">
        <v>826948</v>
      </c>
      <c r="K369" s="5"/>
      <c r="L369" s="5"/>
      <c r="M369" s="129">
        <v>1830515</v>
      </c>
      <c r="N369" s="128" t="s">
        <v>99</v>
      </c>
      <c r="O369" s="5"/>
      <c r="P369" s="5"/>
      <c r="Q369" s="5"/>
      <c r="R369" s="5"/>
    </row>
    <row r="370" spans="1:18" ht="15.75" customHeight="1">
      <c r="A370" s="28"/>
      <c r="B370" s="29"/>
      <c r="C370" s="29"/>
      <c r="D370" s="29"/>
      <c r="E370" s="43"/>
      <c r="F370" s="33" t="s">
        <v>50</v>
      </c>
      <c r="G370" s="38"/>
      <c r="H370" s="38"/>
      <c r="I370" s="40">
        <v>1069784</v>
      </c>
      <c r="J370" s="5">
        <v>116336</v>
      </c>
      <c r="K370" s="148">
        <v>10164</v>
      </c>
      <c r="L370" s="5"/>
      <c r="M370" s="129">
        <v>2274858</v>
      </c>
      <c r="N370" s="128" t="s">
        <v>100</v>
      </c>
      <c r="O370" s="5"/>
      <c r="P370" s="5"/>
      <c r="Q370" s="5"/>
      <c r="R370" s="5"/>
    </row>
    <row r="371" spans="1:18" ht="15.75" customHeight="1">
      <c r="A371" s="28"/>
      <c r="B371" s="29"/>
      <c r="C371" s="29"/>
      <c r="D371" s="29"/>
      <c r="E371" s="43"/>
      <c r="F371" s="33" t="s">
        <v>40</v>
      </c>
      <c r="G371" s="38"/>
      <c r="H371" s="38"/>
      <c r="I371" s="40">
        <v>300000</v>
      </c>
      <c r="J371" s="118">
        <f>SUM(J369:J370)</f>
        <v>943284</v>
      </c>
      <c r="K371" s="5"/>
      <c r="L371" s="5"/>
      <c r="M371" s="129">
        <v>3609521</v>
      </c>
      <c r="N371" s="128" t="s">
        <v>101</v>
      </c>
      <c r="O371" s="5"/>
      <c r="P371" s="5"/>
      <c r="Q371" s="5"/>
      <c r="R371" s="5"/>
    </row>
    <row r="372" spans="1:18" ht="15" customHeight="1">
      <c r="A372" s="28"/>
      <c r="B372" s="29"/>
      <c r="C372" s="29"/>
      <c r="D372" s="30">
        <v>604</v>
      </c>
      <c r="E372" s="44"/>
      <c r="F372" s="37" t="s">
        <v>42</v>
      </c>
      <c r="G372" s="38"/>
      <c r="H372" s="38"/>
      <c r="I372" s="38">
        <v>0</v>
      </c>
      <c r="J372" s="5">
        <v>300000</v>
      </c>
      <c r="K372" s="5"/>
      <c r="L372" s="5"/>
      <c r="M372" s="129">
        <v>1534500</v>
      </c>
      <c r="N372" s="128" t="s">
        <v>102</v>
      </c>
      <c r="O372" s="5"/>
      <c r="P372" s="5"/>
      <c r="Q372" s="5"/>
      <c r="R372" s="5"/>
    </row>
    <row r="373" spans="1:18" ht="15.75" customHeight="1">
      <c r="A373" s="28"/>
      <c r="B373" s="29">
        <v>15</v>
      </c>
      <c r="C373" s="29"/>
      <c r="D373" s="29">
        <v>231</v>
      </c>
      <c r="E373" s="30" t="s">
        <v>23</v>
      </c>
      <c r="F373" s="37" t="s">
        <v>24</v>
      </c>
      <c r="G373" s="34">
        <f>SUM(G374 )</f>
        <v>0</v>
      </c>
      <c r="H373" s="34"/>
      <c r="I373" s="34">
        <f>SUM(I374 )</f>
        <v>0</v>
      </c>
      <c r="J373" s="118">
        <f>SUM(J371:J372)</f>
        <v>1243284</v>
      </c>
      <c r="K373" s="5"/>
      <c r="L373" s="5"/>
      <c r="M373" s="129">
        <v>1417784</v>
      </c>
      <c r="N373" s="128" t="s">
        <v>103</v>
      </c>
      <c r="O373" s="5"/>
      <c r="P373" s="5"/>
      <c r="Q373" s="5"/>
      <c r="R373" s="5"/>
    </row>
    <row r="374" spans="1:18" ht="15.75" customHeight="1">
      <c r="A374" s="28"/>
      <c r="B374" s="29"/>
      <c r="C374" s="29"/>
      <c r="D374" s="29">
        <v>231</v>
      </c>
      <c r="E374" s="29"/>
      <c r="F374" s="33" t="s">
        <v>46</v>
      </c>
      <c r="G374" s="45"/>
      <c r="H374" s="45"/>
      <c r="I374" s="40"/>
      <c r="J374" s="149">
        <v>168000</v>
      </c>
      <c r="K374" s="5"/>
      <c r="L374" s="5"/>
      <c r="M374" s="129">
        <v>53125</v>
      </c>
      <c r="N374" s="128" t="s">
        <v>104</v>
      </c>
      <c r="O374" s="5"/>
      <c r="P374" s="5"/>
      <c r="Q374" s="5"/>
      <c r="R374" s="5"/>
    </row>
    <row r="375" spans="1:18" ht="15.75" customHeight="1">
      <c r="A375" s="33"/>
      <c r="B375" s="33"/>
      <c r="C375" s="33"/>
      <c r="D375" s="30"/>
      <c r="E375" s="37"/>
      <c r="F375" s="37"/>
      <c r="G375" s="38"/>
      <c r="H375" s="37"/>
      <c r="I375" s="38">
        <v>0</v>
      </c>
      <c r="J375" s="118">
        <f>SUM(J373:J374)</f>
        <v>1411284</v>
      </c>
      <c r="K375" s="5"/>
      <c r="L375" s="5"/>
      <c r="M375" s="129">
        <v>1010144</v>
      </c>
      <c r="N375" s="130" t="s">
        <v>105</v>
      </c>
      <c r="O375" s="5"/>
      <c r="P375" s="5"/>
      <c r="Q375" s="5"/>
      <c r="R375" s="5"/>
    </row>
    <row r="376" spans="1:18" ht="16.5" customHeight="1">
      <c r="A376" s="46" t="s">
        <v>45</v>
      </c>
      <c r="B376" s="13"/>
      <c r="C376" s="13"/>
      <c r="D376" s="13"/>
      <c r="E376" s="13"/>
      <c r="F376" s="46" t="s">
        <v>97</v>
      </c>
      <c r="G376" s="13"/>
      <c r="H376" s="13"/>
      <c r="I376" s="12"/>
      <c r="J376" s="5">
        <v>-1534120</v>
      </c>
      <c r="K376" s="5"/>
      <c r="L376" s="5"/>
      <c r="M376" s="131">
        <f>SUM(M368:M375)</f>
        <v>12146764</v>
      </c>
      <c r="N376" s="132" t="s">
        <v>79</v>
      </c>
      <c r="O376" s="5"/>
      <c r="P376" s="5"/>
      <c r="Q376" s="5"/>
      <c r="R376" s="5"/>
    </row>
    <row r="377" spans="1:18" ht="17.25" customHeight="1" thickBot="1">
      <c r="A377" s="9" t="s">
        <v>30</v>
      </c>
      <c r="B377" s="9" t="s">
        <v>28</v>
      </c>
      <c r="C377" s="10"/>
      <c r="D377" s="12"/>
      <c r="E377" s="12"/>
      <c r="F377" s="46" t="s">
        <v>44</v>
      </c>
      <c r="G377" s="13"/>
      <c r="H377" s="13"/>
      <c r="I377" s="12"/>
      <c r="J377" s="118">
        <f>SUM(J375:J376)</f>
        <v>-122836</v>
      </c>
      <c r="K377" s="5"/>
      <c r="L377" s="5"/>
      <c r="M377" s="5"/>
      <c r="N377" s="5"/>
      <c r="O377" s="5"/>
      <c r="P377" s="5"/>
      <c r="Q377" s="5"/>
      <c r="R377" s="5"/>
    </row>
    <row r="378" spans="1:18">
      <c r="A378" s="12"/>
      <c r="B378" s="12"/>
      <c r="C378" s="12"/>
      <c r="D378" s="12"/>
      <c r="E378" s="12"/>
      <c r="F378" s="12"/>
      <c r="G378" s="12"/>
      <c r="H378" s="12"/>
      <c r="I378" s="12"/>
      <c r="J378" s="5"/>
      <c r="K378" s="5"/>
      <c r="L378" s="157">
        <v>41781</v>
      </c>
      <c r="M378" s="5"/>
      <c r="N378" s="5"/>
      <c r="O378" s="5"/>
      <c r="P378" s="5"/>
      <c r="Q378" s="5"/>
      <c r="R378" s="5"/>
    </row>
    <row r="379" spans="1:18" ht="13.5" thickBot="1">
      <c r="A379" s="4"/>
      <c r="L379" s="158">
        <v>-1100</v>
      </c>
    </row>
    <row r="380" spans="1:18" ht="17.25" customHeight="1" thickBot="1">
      <c r="A380" s="9" t="s">
        <v>0</v>
      </c>
      <c r="B380" s="9"/>
      <c r="C380" s="9"/>
      <c r="D380" s="9"/>
      <c r="E380" s="9"/>
      <c r="F380" s="9"/>
      <c r="G380" s="9"/>
      <c r="H380" s="9"/>
      <c r="I380" s="9"/>
      <c r="L380" s="152">
        <f>SUM(L378:L379)</f>
        <v>40681</v>
      </c>
    </row>
    <row r="381" spans="1:18" ht="13.5" customHeight="1">
      <c r="A381" s="9" t="s">
        <v>1</v>
      </c>
      <c r="B381" s="9"/>
      <c r="C381" s="9"/>
      <c r="D381" s="9"/>
      <c r="E381" s="9"/>
      <c r="F381" s="9"/>
      <c r="G381" s="10"/>
      <c r="H381" s="10"/>
      <c r="I381" s="10"/>
    </row>
    <row r="382" spans="1:18" ht="14.25" customHeight="1">
      <c r="A382" s="9" t="s">
        <v>27</v>
      </c>
      <c r="B382" s="9"/>
      <c r="C382" s="9"/>
      <c r="D382" s="9"/>
      <c r="E382" s="9"/>
      <c r="F382" s="9"/>
      <c r="G382" s="9"/>
      <c r="H382" s="9"/>
      <c r="I382" s="9"/>
    </row>
    <row r="383" spans="1:18" ht="13.5">
      <c r="A383" s="11" t="s">
        <v>2</v>
      </c>
      <c r="B383" s="11"/>
      <c r="C383" s="11"/>
      <c r="D383" s="11"/>
      <c r="E383" s="11"/>
      <c r="F383" s="9"/>
      <c r="G383" s="10"/>
      <c r="H383" s="10"/>
      <c r="I383" s="10"/>
    </row>
    <row r="384" spans="1:18" ht="12.75" customHeight="1">
      <c r="A384" s="9"/>
      <c r="B384" s="9"/>
      <c r="C384" s="9"/>
      <c r="D384" s="9"/>
      <c r="E384" s="9"/>
      <c r="F384" s="9"/>
      <c r="G384" s="10"/>
      <c r="H384" s="10"/>
      <c r="I384" s="9"/>
    </row>
    <row r="385" spans="1:18" ht="15.75" customHeight="1">
      <c r="A385" s="52" t="s">
        <v>120</v>
      </c>
      <c r="B385" s="50"/>
      <c r="C385" s="51"/>
      <c r="D385" s="51"/>
      <c r="E385" s="51"/>
      <c r="F385" s="51"/>
      <c r="G385" s="51"/>
      <c r="H385" s="51"/>
      <c r="I385" s="11"/>
    </row>
    <row r="386" spans="1:18" ht="19.5" customHeight="1">
      <c r="A386" s="14"/>
      <c r="B386" s="14"/>
      <c r="C386" s="14"/>
      <c r="D386" s="14"/>
      <c r="E386" s="14"/>
      <c r="F386" s="14"/>
      <c r="G386" s="14"/>
      <c r="H386" s="14"/>
      <c r="I386" s="14"/>
      <c r="K386">
        <v>30926</v>
      </c>
    </row>
    <row r="387" spans="1:18" ht="19.5" customHeight="1">
      <c r="A387" s="15" t="s">
        <v>3</v>
      </c>
      <c r="B387" s="16" t="s">
        <v>4</v>
      </c>
      <c r="C387" s="17" t="s">
        <v>5</v>
      </c>
      <c r="D387" s="18" t="s">
        <v>6</v>
      </c>
      <c r="E387" s="18" t="s">
        <v>7</v>
      </c>
      <c r="F387" s="15" t="s">
        <v>8</v>
      </c>
      <c r="G387" s="19" t="s">
        <v>25</v>
      </c>
      <c r="H387" s="19" t="s">
        <v>25</v>
      </c>
      <c r="I387" s="20" t="s">
        <v>48</v>
      </c>
      <c r="K387">
        <v>6000</v>
      </c>
      <c r="L387" t="s">
        <v>118</v>
      </c>
    </row>
    <row r="388" spans="1:18" ht="19.5" customHeight="1">
      <c r="A388" s="21"/>
      <c r="B388" s="22"/>
      <c r="C388" s="23"/>
      <c r="D388" s="24"/>
      <c r="E388" s="25"/>
      <c r="F388" s="21"/>
      <c r="G388" s="26" t="s">
        <v>49</v>
      </c>
      <c r="H388" s="26" t="s">
        <v>121</v>
      </c>
      <c r="I388" s="27" t="s">
        <v>47</v>
      </c>
      <c r="K388">
        <f>SUM(K386:K387)</f>
        <v>36926</v>
      </c>
    </row>
    <row r="389" spans="1:18" ht="19.5" customHeight="1">
      <c r="A389" s="28"/>
      <c r="B389" s="29"/>
      <c r="C389" s="29"/>
      <c r="D389" s="29"/>
      <c r="E389" s="30" t="s">
        <v>9</v>
      </c>
      <c r="F389" s="31" t="s">
        <v>10</v>
      </c>
      <c r="G389" s="29" t="s">
        <v>11</v>
      </c>
      <c r="H389" s="29"/>
      <c r="I389" s="32"/>
      <c r="K389">
        <v>1800</v>
      </c>
    </row>
    <row r="390" spans="1:18" ht="19.5" customHeight="1">
      <c r="A390" s="28"/>
      <c r="B390" s="29"/>
      <c r="C390" s="29"/>
      <c r="D390" s="29"/>
      <c r="E390" s="29">
        <v>1</v>
      </c>
      <c r="F390" s="33" t="s">
        <v>12</v>
      </c>
      <c r="G390" s="29"/>
      <c r="H390" s="29"/>
      <c r="I390" s="33"/>
      <c r="K390">
        <f>SUM(K388:K389)</f>
        <v>38726</v>
      </c>
      <c r="M390" s="123">
        <v>416317</v>
      </c>
    </row>
    <row r="391" spans="1:18" ht="19.5" customHeight="1">
      <c r="A391" s="28"/>
      <c r="B391" s="29"/>
      <c r="C391" s="29"/>
      <c r="D391" s="29"/>
      <c r="E391" s="29">
        <v>2</v>
      </c>
      <c r="F391" s="33" t="s">
        <v>13</v>
      </c>
      <c r="G391" s="29"/>
      <c r="H391" s="29"/>
      <c r="I391" s="33"/>
      <c r="J391" s="5"/>
      <c r="K391" s="5">
        <v>-41781</v>
      </c>
      <c r="L391" s="5"/>
      <c r="M391" s="124">
        <v>1830515</v>
      </c>
      <c r="N391" s="5"/>
      <c r="O391" s="5"/>
      <c r="P391" s="5"/>
      <c r="Q391" s="5"/>
      <c r="R391" s="5"/>
    </row>
    <row r="392" spans="1:18" ht="19.5" customHeight="1">
      <c r="A392" s="28"/>
      <c r="B392" s="29"/>
      <c r="C392" s="29"/>
      <c r="D392" s="29"/>
      <c r="E392" s="29">
        <v>3</v>
      </c>
      <c r="F392" s="33" t="s">
        <v>14</v>
      </c>
      <c r="G392" s="29"/>
      <c r="H392" s="29"/>
      <c r="I392" s="33"/>
      <c r="J392" s="5"/>
      <c r="K392" s="5">
        <f>SUM(K390:K391)</f>
        <v>-3055</v>
      </c>
      <c r="L392" s="5"/>
      <c r="M392" s="124">
        <v>2274858</v>
      </c>
      <c r="N392" s="5"/>
      <c r="O392" s="5"/>
      <c r="P392" s="5"/>
      <c r="Q392" s="5"/>
      <c r="R392" s="5"/>
    </row>
    <row r="393" spans="1:18" ht="19.5" customHeight="1">
      <c r="A393" s="28"/>
      <c r="B393" s="29"/>
      <c r="C393" s="29"/>
      <c r="D393" s="29"/>
      <c r="E393" s="29">
        <v>4</v>
      </c>
      <c r="F393" s="33" t="s">
        <v>15</v>
      </c>
      <c r="G393" s="28"/>
      <c r="H393" s="28"/>
      <c r="I393" s="33"/>
      <c r="J393" s="5"/>
      <c r="K393" s="5"/>
      <c r="L393" s="5"/>
      <c r="M393" s="124">
        <v>3609521</v>
      </c>
      <c r="N393" s="5"/>
      <c r="O393" s="5"/>
      <c r="P393" s="5"/>
      <c r="Q393" s="5"/>
      <c r="R393" s="5"/>
    </row>
    <row r="394" spans="1:18" ht="19.5" customHeight="1">
      <c r="A394" s="28"/>
      <c r="B394" s="29"/>
      <c r="C394" s="29"/>
      <c r="D394" s="29"/>
      <c r="E394" s="30" t="s">
        <v>16</v>
      </c>
      <c r="F394" s="31" t="s">
        <v>17</v>
      </c>
      <c r="G394" s="34">
        <f>G396 +G415</f>
        <v>67321</v>
      </c>
      <c r="H394" s="34">
        <f>H396 +H415</f>
        <v>67321</v>
      </c>
      <c r="I394" s="34">
        <f>I396 +I415</f>
        <v>65019311</v>
      </c>
      <c r="J394" s="125">
        <f>J396 +J415</f>
        <v>60820</v>
      </c>
      <c r="K394" s="5"/>
      <c r="L394" s="5"/>
      <c r="M394" s="124">
        <v>1534500</v>
      </c>
      <c r="N394" s="5"/>
      <c r="O394" s="5"/>
      <c r="P394" s="5"/>
      <c r="Q394" s="5"/>
      <c r="R394" s="5"/>
    </row>
    <row r="395" spans="1:18" ht="19.5" customHeight="1">
      <c r="A395" s="35">
        <v>25</v>
      </c>
      <c r="B395" s="36" t="s">
        <v>26</v>
      </c>
      <c r="C395" s="29"/>
      <c r="D395" s="29"/>
      <c r="E395" s="29"/>
      <c r="F395" s="33" t="s">
        <v>18</v>
      </c>
      <c r="G395" s="32"/>
      <c r="H395" s="32"/>
      <c r="I395" s="29"/>
      <c r="J395" s="5"/>
      <c r="K395" s="5"/>
      <c r="L395" s="5"/>
      <c r="M395" s="124">
        <v>1417784</v>
      </c>
      <c r="N395" s="5"/>
      <c r="O395" s="5"/>
      <c r="P395" s="5"/>
      <c r="Q395" s="5"/>
      <c r="R395" s="5"/>
    </row>
    <row r="396" spans="1:18" ht="19.5" customHeight="1">
      <c r="A396" s="28"/>
      <c r="B396" s="29"/>
      <c r="C396" s="29">
        <v>1</v>
      </c>
      <c r="D396" s="29"/>
      <c r="E396" s="29"/>
      <c r="F396" s="37" t="s">
        <v>19</v>
      </c>
      <c r="G396" s="38">
        <f>SUM(G397 +G403+G414  )</f>
        <v>67321</v>
      </c>
      <c r="H396" s="38">
        <f>SUM(H397 +H403+H414  )</f>
        <v>67321</v>
      </c>
      <c r="I396" s="38">
        <f>SUM(I397 +I403+I414  )</f>
        <v>65019311</v>
      </c>
      <c r="J396" s="126">
        <f>SUM(J397 +J403+J414  )</f>
        <v>60820</v>
      </c>
      <c r="K396" s="5"/>
      <c r="L396" s="116"/>
      <c r="M396" s="124">
        <v>53125</v>
      </c>
      <c r="N396" s="5"/>
      <c r="O396" s="5"/>
      <c r="P396" s="5"/>
      <c r="Q396" s="5"/>
      <c r="R396" s="5"/>
    </row>
    <row r="397" spans="1:18" ht="19.5" customHeight="1">
      <c r="A397" s="28"/>
      <c r="B397" s="29"/>
      <c r="C397" s="29"/>
      <c r="D397" s="29">
        <v>600.1</v>
      </c>
      <c r="E397" s="29"/>
      <c r="F397" s="37" t="s">
        <v>41</v>
      </c>
      <c r="G397" s="38">
        <f>SUM(G398 +G401  )</f>
        <v>47535</v>
      </c>
      <c r="H397" s="38">
        <f>SUM(H398 +H401  )</f>
        <v>47535</v>
      </c>
      <c r="I397" s="38">
        <f>SUM(I398 +I401  )</f>
        <v>45249731</v>
      </c>
      <c r="J397" s="126">
        <f>SUM(J398 +J401  )</f>
        <v>29118</v>
      </c>
      <c r="K397" s="71"/>
      <c r="L397" s="117"/>
      <c r="M397" s="124">
        <v>1010144</v>
      </c>
      <c r="N397" s="5"/>
      <c r="O397" s="5"/>
      <c r="P397" s="5"/>
      <c r="Q397" s="5"/>
      <c r="R397" s="5"/>
    </row>
    <row r="398" spans="1:18" ht="19.5" customHeight="1">
      <c r="A398" s="28"/>
      <c r="B398" s="29"/>
      <c r="C398" s="29"/>
      <c r="D398" s="29"/>
      <c r="E398" s="39">
        <v>600</v>
      </c>
      <c r="F398" s="31" t="s">
        <v>20</v>
      </c>
      <c r="G398" s="38">
        <f>SUM(G399:G400)</f>
        <v>40361</v>
      </c>
      <c r="H398" s="38">
        <f>SUM(H399:H400)</f>
        <v>40361</v>
      </c>
      <c r="I398" s="49">
        <f>SUM(I399:I400)</f>
        <v>38130287</v>
      </c>
      <c r="J398" s="5">
        <v>24560</v>
      </c>
      <c r="K398" s="5"/>
      <c r="L398" s="117"/>
      <c r="M398" s="5">
        <f>SUM(M390:M397)</f>
        <v>12146764</v>
      </c>
      <c r="N398" s="5"/>
      <c r="O398" s="118"/>
      <c r="P398" s="5"/>
      <c r="Q398" s="5"/>
      <c r="R398" s="5"/>
    </row>
    <row r="399" spans="1:18" ht="19.5" customHeight="1">
      <c r="A399" s="28"/>
      <c r="B399" s="29"/>
      <c r="C399" s="29"/>
      <c r="D399" s="29"/>
      <c r="E399" s="39"/>
      <c r="F399" s="33" t="s">
        <v>20</v>
      </c>
      <c r="G399" s="38">
        <v>38736</v>
      </c>
      <c r="H399" s="38">
        <v>38736</v>
      </c>
      <c r="I399" s="40">
        <v>36505287</v>
      </c>
      <c r="J399" s="119">
        <v>23390</v>
      </c>
      <c r="K399" s="5"/>
      <c r="L399" s="120"/>
      <c r="M399" s="5"/>
      <c r="N399" s="5"/>
      <c r="O399" s="5"/>
      <c r="P399" s="5"/>
      <c r="Q399" s="5"/>
      <c r="R399" s="5"/>
    </row>
    <row r="400" spans="1:18" ht="19.5" customHeight="1">
      <c r="A400" s="28"/>
      <c r="B400" s="29"/>
      <c r="C400" s="29"/>
      <c r="D400" s="29"/>
      <c r="E400" s="39"/>
      <c r="F400" s="33" t="s">
        <v>21</v>
      </c>
      <c r="G400" s="38">
        <v>1625</v>
      </c>
      <c r="H400" s="38">
        <v>1625</v>
      </c>
      <c r="I400" s="40">
        <v>1625000</v>
      </c>
      <c r="J400" s="119">
        <v>1170</v>
      </c>
      <c r="K400" s="5">
        <v>-168</v>
      </c>
      <c r="L400" s="120" t="s">
        <v>96</v>
      </c>
      <c r="M400" s="5"/>
      <c r="N400" s="116">
        <v>6102</v>
      </c>
      <c r="O400" s="5"/>
      <c r="P400" s="5"/>
      <c r="Q400" s="5"/>
      <c r="R400" s="5"/>
    </row>
    <row r="401" spans="1:18" ht="19.5" customHeight="1">
      <c r="A401" s="28"/>
      <c r="B401" s="29"/>
      <c r="C401" s="29"/>
      <c r="D401" s="29">
        <v>601</v>
      </c>
      <c r="E401" s="29"/>
      <c r="F401" s="31" t="s">
        <v>22</v>
      </c>
      <c r="G401" s="38">
        <v>7174</v>
      </c>
      <c r="H401" s="38">
        <v>7174</v>
      </c>
      <c r="I401" s="47">
        <v>7119444</v>
      </c>
      <c r="J401" s="5">
        <v>4558</v>
      </c>
      <c r="K401" s="5"/>
      <c r="L401" s="117" t="s">
        <v>112</v>
      </c>
      <c r="M401" s="5"/>
      <c r="N401" s="5">
        <v>-4711</v>
      </c>
      <c r="O401" s="118"/>
      <c r="P401" s="5"/>
      <c r="Q401" s="5"/>
      <c r="R401" s="5"/>
    </row>
    <row r="402" spans="1:18" ht="19.5" customHeight="1">
      <c r="A402" s="28"/>
      <c r="B402" s="29"/>
      <c r="C402" s="29"/>
      <c r="D402" s="29"/>
      <c r="E402" s="29"/>
      <c r="F402" s="31"/>
      <c r="G402" s="38"/>
      <c r="H402" s="38"/>
      <c r="I402" s="41"/>
      <c r="J402" s="5"/>
      <c r="K402" s="5"/>
      <c r="L402" s="5"/>
      <c r="M402" s="5"/>
      <c r="N402" s="116">
        <f>SUM(N400:N401)</f>
        <v>1391</v>
      </c>
      <c r="O402" s="118"/>
      <c r="P402" s="5"/>
      <c r="Q402" s="5"/>
      <c r="R402" s="5"/>
    </row>
    <row r="403" spans="1:18" ht="19.5" customHeight="1">
      <c r="A403" s="28"/>
      <c r="B403" s="29"/>
      <c r="C403" s="29"/>
      <c r="D403" s="29">
        <v>602</v>
      </c>
      <c r="E403" s="29"/>
      <c r="F403" s="42" t="s">
        <v>29</v>
      </c>
      <c r="G403" s="34">
        <v>19786</v>
      </c>
      <c r="H403" s="34">
        <v>19786</v>
      </c>
      <c r="I403" s="34">
        <f>SUM(I404:I411)</f>
        <v>19769580</v>
      </c>
      <c r="J403" s="121">
        <v>31702</v>
      </c>
      <c r="K403" s="122">
        <v>168</v>
      </c>
      <c r="L403" s="120" t="s">
        <v>96</v>
      </c>
      <c r="M403" s="122"/>
      <c r="N403" s="5"/>
      <c r="O403" s="5"/>
      <c r="P403" s="5"/>
      <c r="Q403" s="5"/>
      <c r="R403" s="5"/>
    </row>
    <row r="404" spans="1:18" ht="19.5" customHeight="1">
      <c r="A404" s="28"/>
      <c r="B404" s="29"/>
      <c r="C404" s="29"/>
      <c r="D404" s="29"/>
      <c r="E404" s="43">
        <v>602</v>
      </c>
      <c r="F404" s="33" t="s">
        <v>31</v>
      </c>
      <c r="G404" s="38"/>
      <c r="H404" s="38"/>
      <c r="I404" s="40">
        <v>526317</v>
      </c>
      <c r="J404" s="5"/>
      <c r="K404" s="5"/>
      <c r="L404" s="5"/>
      <c r="M404" s="5"/>
      <c r="N404" s="5">
        <v>7072</v>
      </c>
      <c r="O404" s="5"/>
      <c r="P404" s="5"/>
      <c r="Q404" s="5"/>
      <c r="R404" s="5"/>
    </row>
    <row r="405" spans="1:18" ht="15" customHeight="1">
      <c r="A405" s="28"/>
      <c r="B405" s="29"/>
      <c r="C405" s="29"/>
      <c r="D405" s="29"/>
      <c r="E405" s="43">
        <v>602.20000000000005</v>
      </c>
      <c r="F405" s="33" t="s">
        <v>32</v>
      </c>
      <c r="G405" s="38"/>
      <c r="H405" s="38"/>
      <c r="I405" s="40">
        <v>3782893</v>
      </c>
      <c r="J405" s="5"/>
      <c r="K405" s="5"/>
      <c r="L405" s="5">
        <v>31870</v>
      </c>
      <c r="M405" s="5"/>
      <c r="N405" s="149">
        <v>-7150</v>
      </c>
      <c r="O405" s="5"/>
      <c r="P405" s="5"/>
      <c r="Q405" s="5"/>
      <c r="R405" s="5"/>
    </row>
    <row r="406" spans="1:18" ht="17.25" customHeight="1">
      <c r="A406" s="28"/>
      <c r="B406" s="29"/>
      <c r="C406" s="29"/>
      <c r="D406" s="29"/>
      <c r="E406" s="43" t="s">
        <v>33</v>
      </c>
      <c r="F406" s="33" t="s">
        <v>34</v>
      </c>
      <c r="G406" s="38"/>
      <c r="H406" s="38"/>
      <c r="I406" s="40">
        <v>2444178</v>
      </c>
      <c r="J406" s="5"/>
      <c r="K406" s="5"/>
      <c r="L406" s="5">
        <v>-20000</v>
      </c>
      <c r="M406" s="5"/>
      <c r="N406" s="5">
        <f>SUM(N404:N405)</f>
        <v>-78</v>
      </c>
      <c r="O406" s="118"/>
      <c r="P406" s="5"/>
      <c r="Q406" s="5"/>
      <c r="R406" s="5"/>
    </row>
    <row r="407" spans="1:18" ht="16.5" customHeight="1">
      <c r="A407" s="28"/>
      <c r="B407" s="29"/>
      <c r="C407" s="29"/>
      <c r="D407" s="29"/>
      <c r="E407" s="43">
        <v>602.4</v>
      </c>
      <c r="F407" s="33" t="s">
        <v>35</v>
      </c>
      <c r="G407" s="38"/>
      <c r="H407" s="38"/>
      <c r="I407" s="40">
        <v>5367416</v>
      </c>
      <c r="J407" s="5"/>
      <c r="K407" s="5"/>
      <c r="L407" s="5">
        <f>SUM(L405:L406)</f>
        <v>11870</v>
      </c>
      <c r="M407" s="5"/>
      <c r="N407" s="5"/>
      <c r="O407" s="5"/>
      <c r="P407" s="5"/>
      <c r="Q407" s="5"/>
      <c r="R407" s="5"/>
    </row>
    <row r="408" spans="1:18" ht="15.75" customHeight="1">
      <c r="A408" s="28"/>
      <c r="B408" s="29"/>
      <c r="C408" s="29"/>
      <c r="D408" s="29"/>
      <c r="E408" s="43">
        <v>602.5</v>
      </c>
      <c r="F408" s="33" t="s">
        <v>36</v>
      </c>
      <c r="G408" s="38"/>
      <c r="H408" s="38"/>
      <c r="I408" s="40">
        <v>4642698</v>
      </c>
      <c r="J408" s="5"/>
      <c r="K408" s="5"/>
      <c r="L408" s="5"/>
      <c r="M408" s="5"/>
      <c r="N408" s="5"/>
      <c r="O408" s="5"/>
      <c r="P408" s="5"/>
      <c r="Q408" s="5"/>
      <c r="R408" s="5"/>
    </row>
    <row r="409" spans="1:18" ht="16.5" customHeight="1">
      <c r="A409" s="28"/>
      <c r="B409" s="29"/>
      <c r="C409" s="29"/>
      <c r="D409" s="29"/>
      <c r="E409" s="43">
        <v>602.6</v>
      </c>
      <c r="F409" s="33" t="s">
        <v>37</v>
      </c>
      <c r="G409" s="38"/>
      <c r="H409" s="38"/>
      <c r="I409" s="40">
        <v>53125</v>
      </c>
      <c r="J409" s="71"/>
      <c r="K409" s="5"/>
      <c r="L409" s="5"/>
      <c r="M409" s="71"/>
      <c r="N409" s="5"/>
      <c r="O409" s="5"/>
      <c r="P409" s="5"/>
      <c r="Q409" s="5"/>
      <c r="R409" s="5"/>
    </row>
    <row r="410" spans="1:18">
      <c r="A410" s="28"/>
      <c r="B410" s="29"/>
      <c r="C410" s="29"/>
      <c r="D410" s="29"/>
      <c r="E410" s="43">
        <v>602.70000000000005</v>
      </c>
      <c r="F410" s="33" t="s">
        <v>38</v>
      </c>
      <c r="G410" s="38"/>
      <c r="H410" s="38"/>
      <c r="I410" s="40">
        <v>1010144</v>
      </c>
      <c r="J410" s="5"/>
      <c r="K410" s="5"/>
      <c r="L410" s="5"/>
      <c r="M410" s="159">
        <v>416317</v>
      </c>
      <c r="N410" s="132" t="s">
        <v>98</v>
      </c>
      <c r="O410" s="5"/>
      <c r="P410" s="5"/>
      <c r="Q410" s="5"/>
      <c r="R410" s="5"/>
    </row>
    <row r="411" spans="1:18">
      <c r="A411" s="28"/>
      <c r="B411" s="29"/>
      <c r="C411" s="29"/>
      <c r="D411" s="29"/>
      <c r="E411" s="43">
        <v>602.9</v>
      </c>
      <c r="F411" s="33" t="s">
        <v>39</v>
      </c>
      <c r="G411" s="38"/>
      <c r="H411" s="38"/>
      <c r="I411" s="40">
        <v>1942809</v>
      </c>
      <c r="J411" s="5"/>
      <c r="K411" s="118"/>
      <c r="L411" s="5"/>
      <c r="M411" s="132">
        <v>1830515</v>
      </c>
      <c r="N411" s="132" t="s">
        <v>99</v>
      </c>
      <c r="O411" s="5"/>
      <c r="P411" s="5"/>
      <c r="Q411" s="5"/>
      <c r="R411" s="5"/>
    </row>
    <row r="412" spans="1:18" ht="15.75" customHeight="1">
      <c r="A412" s="28"/>
      <c r="B412" s="29"/>
      <c r="C412" s="29"/>
      <c r="D412" s="29"/>
      <c r="E412" s="43"/>
      <c r="F412" s="33" t="s">
        <v>50</v>
      </c>
      <c r="G412" s="38"/>
      <c r="H412" s="38"/>
      <c r="I412" s="40">
        <v>1211284</v>
      </c>
      <c r="J412" s="118"/>
      <c r="K412" s="148"/>
      <c r="L412" s="5"/>
      <c r="M412" s="132">
        <v>2274858</v>
      </c>
      <c r="N412" s="132" t="s">
        <v>100</v>
      </c>
      <c r="O412" s="5"/>
      <c r="P412" s="5"/>
      <c r="Q412" s="5"/>
      <c r="R412" s="5"/>
    </row>
    <row r="413" spans="1:18" ht="15.75" customHeight="1">
      <c r="A413" s="28"/>
      <c r="B413" s="29"/>
      <c r="C413" s="29"/>
      <c r="D413" s="29"/>
      <c r="E413" s="43"/>
      <c r="F413" s="33" t="s">
        <v>40</v>
      </c>
      <c r="G413" s="38"/>
      <c r="H413" s="38"/>
      <c r="I413" s="40">
        <v>420000</v>
      </c>
      <c r="J413" s="118"/>
      <c r="K413" s="5"/>
      <c r="L413" s="5"/>
      <c r="M413" s="132">
        <v>3609521</v>
      </c>
      <c r="N413" s="132" t="s">
        <v>101</v>
      </c>
      <c r="O413" s="5"/>
      <c r="P413" s="5"/>
      <c r="Q413" s="5"/>
      <c r="R413" s="5"/>
    </row>
    <row r="414" spans="1:18" ht="15" customHeight="1">
      <c r="A414" s="28"/>
      <c r="B414" s="29"/>
      <c r="C414" s="29"/>
      <c r="D414" s="30">
        <v>604</v>
      </c>
      <c r="E414" s="44"/>
      <c r="F414" s="37" t="s">
        <v>42</v>
      </c>
      <c r="G414" s="38"/>
      <c r="H414" s="38"/>
      <c r="I414" s="38">
        <v>0</v>
      </c>
      <c r="J414" s="118"/>
      <c r="K414" s="5"/>
      <c r="L414" s="5"/>
      <c r="M414" s="132">
        <v>1534500</v>
      </c>
      <c r="N414" s="132" t="s">
        <v>102</v>
      </c>
      <c r="O414" s="5"/>
      <c r="P414" s="5"/>
      <c r="Q414" s="5"/>
      <c r="R414" s="5"/>
    </row>
    <row r="415" spans="1:18" ht="15.75" customHeight="1">
      <c r="A415" s="28"/>
      <c r="B415" s="29">
        <v>15</v>
      </c>
      <c r="C415" s="29"/>
      <c r="D415" s="29">
        <v>231</v>
      </c>
      <c r="E415" s="30" t="s">
        <v>23</v>
      </c>
      <c r="F415" s="37" t="s">
        <v>24</v>
      </c>
      <c r="G415" s="34">
        <f>SUM(G416 )</f>
        <v>0</v>
      </c>
      <c r="H415" s="34"/>
      <c r="I415" s="34">
        <f>SUM(I416 )</f>
        <v>0</v>
      </c>
      <c r="J415" s="118"/>
      <c r="K415" s="5"/>
      <c r="L415" s="5"/>
      <c r="M415" s="132">
        <v>1417784</v>
      </c>
      <c r="N415" s="132" t="s">
        <v>103</v>
      </c>
      <c r="O415" s="5"/>
      <c r="P415" s="5"/>
      <c r="Q415" s="5"/>
      <c r="R415" s="5"/>
    </row>
    <row r="416" spans="1:18" ht="15.75" customHeight="1">
      <c r="A416" s="28"/>
      <c r="B416" s="29"/>
      <c r="C416" s="29"/>
      <c r="D416" s="29">
        <v>231</v>
      </c>
      <c r="E416" s="29"/>
      <c r="F416" s="33" t="s">
        <v>46</v>
      </c>
      <c r="G416" s="45"/>
      <c r="H416" s="45"/>
      <c r="I416" s="40"/>
      <c r="J416" s="149"/>
      <c r="K416" s="5"/>
      <c r="L416" s="5"/>
      <c r="M416" s="132">
        <v>53125</v>
      </c>
      <c r="N416" s="132" t="s">
        <v>104</v>
      </c>
      <c r="O416" s="5"/>
      <c r="P416" s="5"/>
      <c r="Q416" s="5"/>
      <c r="R416" s="5"/>
    </row>
    <row r="417" spans="1:18" ht="15.75" customHeight="1">
      <c r="A417" s="33"/>
      <c r="B417" s="33"/>
      <c r="C417" s="33"/>
      <c r="D417" s="30"/>
      <c r="E417" s="37"/>
      <c r="F417" s="37"/>
      <c r="G417" s="38"/>
      <c r="H417" s="37"/>
      <c r="I417" s="38">
        <v>0</v>
      </c>
      <c r="J417" s="118"/>
      <c r="K417" s="5"/>
      <c r="L417" s="5"/>
      <c r="M417" s="132">
        <v>1010144</v>
      </c>
      <c r="N417" s="160" t="s">
        <v>105</v>
      </c>
      <c r="O417" s="5"/>
      <c r="P417" s="5"/>
      <c r="Q417" s="5"/>
      <c r="R417" s="5"/>
    </row>
    <row r="418" spans="1:18" ht="16.5" customHeight="1">
      <c r="A418" s="46" t="s">
        <v>45</v>
      </c>
      <c r="B418" s="13"/>
      <c r="C418" s="13"/>
      <c r="D418" s="13"/>
      <c r="E418" s="13"/>
      <c r="F418" s="46" t="s">
        <v>97</v>
      </c>
      <c r="G418" s="13"/>
      <c r="H418" s="13"/>
      <c r="I418" s="12"/>
      <c r="J418" s="5"/>
      <c r="K418" s="5"/>
      <c r="L418" s="5"/>
      <c r="M418" s="131">
        <f>SUM(M410:M417)</f>
        <v>12146764</v>
      </c>
      <c r="N418" s="131" t="s">
        <v>79</v>
      </c>
      <c r="O418" s="5"/>
      <c r="P418" s="5"/>
      <c r="Q418" s="5"/>
      <c r="R418" s="5"/>
    </row>
    <row r="419" spans="1:18" ht="17.25" customHeight="1">
      <c r="A419" s="9" t="s">
        <v>30</v>
      </c>
      <c r="B419" s="9" t="s">
        <v>28</v>
      </c>
      <c r="C419" s="10"/>
      <c r="D419" s="12"/>
      <c r="E419" s="12"/>
      <c r="F419" s="46" t="s">
        <v>44</v>
      </c>
      <c r="G419" s="13"/>
      <c r="H419" s="13"/>
      <c r="I419" s="12"/>
      <c r="J419" s="118"/>
      <c r="K419" s="5"/>
      <c r="L419" s="5"/>
      <c r="M419" s="5"/>
      <c r="N419" s="5"/>
      <c r="O419" s="5"/>
      <c r="P419" s="5"/>
      <c r="Q419" s="5"/>
      <c r="R419" s="5"/>
    </row>
    <row r="420" spans="1:18">
      <c r="A420" s="12"/>
      <c r="B420" s="12"/>
      <c r="C420" s="12"/>
      <c r="D420" s="12"/>
      <c r="E420" s="12"/>
      <c r="F420" s="12"/>
      <c r="G420" s="12"/>
      <c r="H420" s="12"/>
      <c r="I420" s="156"/>
      <c r="J420" s="5"/>
      <c r="K420" s="5"/>
      <c r="L420" s="5"/>
      <c r="M420" s="5"/>
      <c r="N420" s="5"/>
      <c r="O420" s="5"/>
      <c r="P420" s="5"/>
      <c r="Q420" s="5"/>
      <c r="R420" s="5"/>
    </row>
    <row r="421" spans="1:18">
      <c r="K421" s="5"/>
    </row>
  </sheetData>
  <phoneticPr fontId="5" type="noConversion"/>
  <pageMargins left="0.75" right="0.75" top="1" bottom="1" header="0.5" footer="0.5"/>
  <pageSetup paperSize="9" orientation="portrait" horizontalDpi="15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75" workbookViewId="0">
      <selection sqref="A1:IV7"/>
    </sheetView>
  </sheetViews>
  <sheetFormatPr defaultRowHeight="12.75"/>
  <cols>
    <col min="1" max="1" width="7.85546875" style="65" customWidth="1"/>
    <col min="2" max="2" width="7" customWidth="1"/>
    <col min="5" max="5" width="7.42578125" customWidth="1"/>
    <col min="13" max="13" width="8.7109375" customWidth="1"/>
    <col min="14" max="14" width="9.5703125" customWidth="1"/>
    <col min="20" max="20" width="11.42578125" customWidth="1"/>
  </cols>
  <sheetData>
    <row r="1" spans="1:25" ht="36" customHeight="1" thickBot="1">
      <c r="F1" s="67" t="s">
        <v>78</v>
      </c>
      <c r="G1" s="68"/>
      <c r="M1">
        <f>SUM(M3:M4)</f>
        <v>5181</v>
      </c>
    </row>
    <row r="2" spans="1:25" ht="24.75" customHeight="1" thickBot="1">
      <c r="A2" s="66"/>
      <c r="B2" s="72" t="s">
        <v>66</v>
      </c>
      <c r="C2" s="72" t="s">
        <v>67</v>
      </c>
      <c r="D2" s="72" t="s">
        <v>68</v>
      </c>
      <c r="E2" s="72" t="s">
        <v>69</v>
      </c>
      <c r="F2" s="73" t="s">
        <v>70</v>
      </c>
      <c r="G2" s="73" t="s">
        <v>71</v>
      </c>
      <c r="H2" s="72" t="s">
        <v>72</v>
      </c>
      <c r="I2" s="72" t="s">
        <v>73</v>
      </c>
      <c r="J2" s="72" t="s">
        <v>74</v>
      </c>
      <c r="K2" s="72" t="s">
        <v>75</v>
      </c>
      <c r="L2" s="72" t="s">
        <v>77</v>
      </c>
      <c r="M2" s="74" t="s">
        <v>76</v>
      </c>
      <c r="N2" s="75" t="s">
        <v>82</v>
      </c>
      <c r="T2" s="154" t="s">
        <v>117</v>
      </c>
    </row>
    <row r="3" spans="1:25" ht="21.75" customHeight="1">
      <c r="A3" s="76">
        <v>600</v>
      </c>
      <c r="B3" s="77">
        <v>7000</v>
      </c>
      <c r="C3" s="77">
        <v>4460</v>
      </c>
      <c r="D3" s="77">
        <v>4460</v>
      </c>
      <c r="E3" s="77">
        <v>4460</v>
      </c>
      <c r="F3" s="77">
        <v>4460</v>
      </c>
      <c r="G3" s="77">
        <v>4460</v>
      </c>
      <c r="H3" s="77">
        <v>4460</v>
      </c>
      <c r="I3" s="77">
        <v>4460</v>
      </c>
      <c r="J3" s="77">
        <v>4460</v>
      </c>
      <c r="K3" s="77">
        <v>4460</v>
      </c>
      <c r="L3" s="77">
        <v>4460</v>
      </c>
      <c r="M3" s="78">
        <v>4449</v>
      </c>
      <c r="N3" s="79">
        <f>SUM(B3:M3)</f>
        <v>56049</v>
      </c>
      <c r="O3" s="140">
        <v>-9200</v>
      </c>
      <c r="P3" s="162">
        <v>-4900</v>
      </c>
      <c r="Q3" s="4">
        <v>-1150</v>
      </c>
      <c r="R3" s="4">
        <v>-130</v>
      </c>
      <c r="T3" s="84">
        <f>SUM(N3:S3)</f>
        <v>40669</v>
      </c>
      <c r="U3">
        <v>-168</v>
      </c>
      <c r="V3">
        <v>-138</v>
      </c>
      <c r="W3" s="4">
        <f>SUM(T3:V3)</f>
        <v>40363</v>
      </c>
      <c r="X3">
        <v>-40361</v>
      </c>
      <c r="Y3">
        <f>SUM(W3:X3)</f>
        <v>2</v>
      </c>
    </row>
    <row r="4" spans="1:25" ht="24" customHeight="1">
      <c r="A4" s="80">
        <v>601</v>
      </c>
      <c r="B4" s="81">
        <v>1000</v>
      </c>
      <c r="C4" s="81">
        <v>728</v>
      </c>
      <c r="D4" s="81">
        <v>728</v>
      </c>
      <c r="E4" s="81">
        <v>728</v>
      </c>
      <c r="F4" s="81">
        <v>728</v>
      </c>
      <c r="G4" s="81">
        <v>728</v>
      </c>
      <c r="H4" s="81">
        <v>728</v>
      </c>
      <c r="I4" s="81">
        <v>728</v>
      </c>
      <c r="J4" s="81">
        <v>728</v>
      </c>
      <c r="K4" s="81">
        <v>728</v>
      </c>
      <c r="L4" s="81">
        <v>728</v>
      </c>
      <c r="M4" s="82">
        <v>732</v>
      </c>
      <c r="N4" s="83">
        <f>SUM(B4:M4)</f>
        <v>9012</v>
      </c>
      <c r="O4" s="140">
        <v>-2910</v>
      </c>
      <c r="P4" s="162">
        <v>400</v>
      </c>
      <c r="Q4" s="4">
        <v>100</v>
      </c>
      <c r="T4" s="84">
        <f>SUM(N4:S4)</f>
        <v>6602</v>
      </c>
      <c r="W4" s="4"/>
    </row>
    <row r="5" spans="1:25" ht="23.25" customHeight="1">
      <c r="A5" s="69" t="s">
        <v>81</v>
      </c>
      <c r="B5" s="84">
        <f>SUM(B3:B4)</f>
        <v>8000</v>
      </c>
      <c r="C5" s="84">
        <f t="shared" ref="C5:M5" si="0">SUM(C3:C4)</f>
        <v>5188</v>
      </c>
      <c r="D5" s="84">
        <f t="shared" si="0"/>
        <v>5188</v>
      </c>
      <c r="E5" s="84">
        <f t="shared" si="0"/>
        <v>5188</v>
      </c>
      <c r="F5" s="84">
        <f t="shared" si="0"/>
        <v>5188</v>
      </c>
      <c r="G5" s="84">
        <f t="shared" si="0"/>
        <v>5188</v>
      </c>
      <c r="H5" s="84">
        <f t="shared" si="0"/>
        <v>5188</v>
      </c>
      <c r="I5" s="84">
        <f t="shared" si="0"/>
        <v>5188</v>
      </c>
      <c r="J5" s="84">
        <f t="shared" si="0"/>
        <v>5188</v>
      </c>
      <c r="K5" s="84">
        <f t="shared" si="0"/>
        <v>5188</v>
      </c>
      <c r="L5" s="84">
        <f t="shared" si="0"/>
        <v>5188</v>
      </c>
      <c r="M5" s="85">
        <f t="shared" si="0"/>
        <v>5181</v>
      </c>
      <c r="N5" s="83">
        <f>SUM(N3:N4)</f>
        <v>65061</v>
      </c>
      <c r="O5" s="137">
        <f>SUM(O3:O4)</f>
        <v>-12110</v>
      </c>
      <c r="P5" s="137">
        <f>SUM(N5:O5)</f>
        <v>52951</v>
      </c>
      <c r="Q5">
        <f>SUM(B4:M4)</f>
        <v>9012</v>
      </c>
      <c r="S5">
        <f>SUM(B5:M5)</f>
        <v>65061</v>
      </c>
      <c r="T5" s="84"/>
      <c r="W5" s="4"/>
    </row>
    <row r="6" spans="1:25" ht="27.75" customHeight="1" thickBot="1">
      <c r="A6" s="86">
        <v>602</v>
      </c>
      <c r="B6" s="87">
        <v>3000</v>
      </c>
      <c r="C6" s="87">
        <v>1552</v>
      </c>
      <c r="D6" s="87">
        <v>1550</v>
      </c>
      <c r="E6" s="87">
        <v>1550</v>
      </c>
      <c r="F6" s="87">
        <v>1550</v>
      </c>
      <c r="G6" s="87">
        <v>1550</v>
      </c>
      <c r="H6" s="87">
        <v>1550</v>
      </c>
      <c r="I6" s="87">
        <v>1550</v>
      </c>
      <c r="J6" s="87">
        <v>1550</v>
      </c>
      <c r="K6" s="87">
        <v>1550</v>
      </c>
      <c r="L6" s="87">
        <v>1550</v>
      </c>
      <c r="M6" s="88">
        <v>1578</v>
      </c>
      <c r="N6" s="89">
        <f>SUM(B6:M6)</f>
        <v>20080</v>
      </c>
      <c r="O6" s="136">
        <v>-600</v>
      </c>
      <c r="P6" s="162">
        <v>1000</v>
      </c>
      <c r="Q6">
        <v>-1000</v>
      </c>
      <c r="R6" s="4">
        <v>20000</v>
      </c>
      <c r="S6">
        <v>-20000</v>
      </c>
      <c r="T6" s="84">
        <f>SUM(N6:S6)</f>
        <v>19480</v>
      </c>
      <c r="U6">
        <v>168</v>
      </c>
      <c r="V6">
        <v>138</v>
      </c>
      <c r="W6" s="4">
        <f>SUM(T6:V6)</f>
        <v>19786</v>
      </c>
    </row>
    <row r="7" spans="1:25" ht="27" customHeight="1" thickBot="1">
      <c r="A7" s="90" t="s">
        <v>79</v>
      </c>
      <c r="B7" s="91">
        <f>SUM(B5:B6)</f>
        <v>11000</v>
      </c>
      <c r="C7" s="91">
        <f t="shared" ref="C7:M7" si="1">SUM(C5:C6)</f>
        <v>6740</v>
      </c>
      <c r="D7" s="91">
        <f t="shared" si="1"/>
        <v>6738</v>
      </c>
      <c r="E7" s="91">
        <f t="shared" si="1"/>
        <v>6738</v>
      </c>
      <c r="F7" s="91">
        <f t="shared" si="1"/>
        <v>6738</v>
      </c>
      <c r="G7" s="91">
        <f t="shared" si="1"/>
        <v>6738</v>
      </c>
      <c r="H7" s="91">
        <f t="shared" si="1"/>
        <v>6738</v>
      </c>
      <c r="I7" s="91">
        <f t="shared" si="1"/>
        <v>6738</v>
      </c>
      <c r="J7" s="91">
        <f t="shared" si="1"/>
        <v>6738</v>
      </c>
      <c r="K7" s="91">
        <f t="shared" si="1"/>
        <v>6738</v>
      </c>
      <c r="L7" s="91">
        <f t="shared" si="1"/>
        <v>6738</v>
      </c>
      <c r="M7" s="91">
        <f t="shared" si="1"/>
        <v>6759</v>
      </c>
      <c r="N7" s="92">
        <f>SUM(B7:M7)</f>
        <v>85141</v>
      </c>
      <c r="T7" s="155"/>
    </row>
    <row r="8" spans="1:25" ht="27" customHeight="1">
      <c r="A8" s="70"/>
      <c r="B8" s="71"/>
      <c r="C8" s="71"/>
      <c r="D8" s="71"/>
      <c r="E8" s="71"/>
      <c r="F8" s="71"/>
      <c r="G8" s="71"/>
      <c r="H8" s="71"/>
      <c r="I8" s="71"/>
      <c r="J8" s="71"/>
      <c r="K8" s="71"/>
      <c r="L8" s="71">
        <f>SUM(B6:G6)</f>
        <v>10752</v>
      </c>
      <c r="M8" s="71"/>
      <c r="N8" s="71"/>
      <c r="Q8">
        <f>SUM(I3:M3)</f>
        <v>22289</v>
      </c>
      <c r="T8">
        <v>41949</v>
      </c>
      <c r="W8">
        <v>41949</v>
      </c>
    </row>
    <row r="9" spans="1:25">
      <c r="J9">
        <f>SUM(K4:M4)</f>
        <v>2188</v>
      </c>
      <c r="R9" t="s">
        <v>11</v>
      </c>
      <c r="T9">
        <v>-1150</v>
      </c>
      <c r="W9">
        <v>-168</v>
      </c>
    </row>
    <row r="10" spans="1:25">
      <c r="J10">
        <v>-2100</v>
      </c>
      <c r="O10">
        <f>SUM(J4:M4)</f>
        <v>2916</v>
      </c>
      <c r="T10">
        <f>SUM(T8:T9)</f>
        <v>40799</v>
      </c>
      <c r="W10">
        <f>SUM(W8:W9)</f>
        <v>41781</v>
      </c>
    </row>
    <row r="11" spans="1:25">
      <c r="G11" s="5"/>
      <c r="H11" s="5"/>
      <c r="I11" s="5"/>
      <c r="J11" s="5">
        <f>SUM(J9:J10)</f>
        <v>88</v>
      </c>
      <c r="K11" s="5"/>
      <c r="L11" s="5"/>
      <c r="M11" s="5"/>
    </row>
    <row r="12" spans="1:25">
      <c r="G12" s="5"/>
      <c r="H12" s="5"/>
      <c r="I12" s="5"/>
      <c r="J12" s="5"/>
      <c r="K12" s="5"/>
      <c r="L12" s="5"/>
      <c r="M12" s="5">
        <f>SUM(L6:M6)</f>
        <v>3128</v>
      </c>
    </row>
    <row r="13" spans="1:25" ht="13.5" thickBot="1">
      <c r="G13" s="5"/>
      <c r="H13" s="5"/>
      <c r="I13" s="5"/>
      <c r="J13" s="5"/>
      <c r="K13" s="5"/>
      <c r="L13" s="5"/>
      <c r="M13" s="5"/>
    </row>
    <row r="14" spans="1:25" ht="21" thickBot="1">
      <c r="B14" s="106" t="s">
        <v>80</v>
      </c>
      <c r="C14" s="68"/>
      <c r="G14" s="134"/>
      <c r="H14" s="135"/>
      <c r="I14" s="133" t="s">
        <v>83</v>
      </c>
      <c r="J14" s="135"/>
      <c r="K14" s="135"/>
      <c r="L14" s="133"/>
      <c r="M14" s="105" t="s">
        <v>92</v>
      </c>
      <c r="N14" s="135"/>
      <c r="O14" s="135" t="s">
        <v>93</v>
      </c>
      <c r="P14" s="68"/>
      <c r="U14" t="s">
        <v>91</v>
      </c>
    </row>
    <row r="15" spans="1:25" ht="15.75" customHeight="1">
      <c r="A15" s="93" t="s">
        <v>87</v>
      </c>
      <c r="B15" s="94" t="s">
        <v>84</v>
      </c>
      <c r="C15" s="103" t="s">
        <v>85</v>
      </c>
      <c r="D15" s="95" t="s">
        <v>86</v>
      </c>
      <c r="G15" s="96" t="s">
        <v>87</v>
      </c>
      <c r="H15" s="5" t="s">
        <v>84</v>
      </c>
      <c r="I15" s="104" t="s">
        <v>85</v>
      </c>
      <c r="J15" s="5" t="s">
        <v>86</v>
      </c>
      <c r="K15" s="5"/>
      <c r="L15" s="71"/>
      <c r="M15" s="101"/>
      <c r="N15" s="5"/>
      <c r="O15" s="5"/>
      <c r="P15" s="97"/>
    </row>
    <row r="16" spans="1:25" ht="19.5" customHeight="1">
      <c r="A16" s="107">
        <v>600</v>
      </c>
      <c r="B16" s="5">
        <v>24840</v>
      </c>
      <c r="C16" s="5">
        <v>-9200</v>
      </c>
      <c r="D16" s="97">
        <f>SUM(B16:C16)</f>
        <v>15640</v>
      </c>
      <c r="G16" s="107">
        <v>600</v>
      </c>
      <c r="H16" s="5">
        <f>SUM(B3:G3)</f>
        <v>29300</v>
      </c>
      <c r="I16" s="5">
        <v>-9200</v>
      </c>
      <c r="J16" s="5">
        <f>SUM(H16:I16)</f>
        <v>20100</v>
      </c>
      <c r="K16" s="5">
        <v>-168</v>
      </c>
      <c r="L16" s="71">
        <f>SUM(J16:K16)</f>
        <v>19932</v>
      </c>
      <c r="M16" s="138">
        <f>SUM(B3:H3)</f>
        <v>33760</v>
      </c>
      <c r="N16" s="1">
        <v>-9200</v>
      </c>
      <c r="O16" s="1"/>
      <c r="P16" s="6">
        <f>SUM(M16:N16)</f>
        <v>24560</v>
      </c>
      <c r="Q16" s="5">
        <v>-168</v>
      </c>
      <c r="R16">
        <f>SUM(P16:Q16)</f>
        <v>24392</v>
      </c>
      <c r="U16">
        <v>20080</v>
      </c>
    </row>
    <row r="17" spans="1:23" ht="19.5" customHeight="1">
      <c r="A17" s="107">
        <v>601</v>
      </c>
      <c r="B17" s="5">
        <v>3912</v>
      </c>
      <c r="C17" s="5">
        <v>-460</v>
      </c>
      <c r="D17" s="97">
        <f>SUM(B17:C17)</f>
        <v>3452</v>
      </c>
      <c r="G17" s="107">
        <v>601</v>
      </c>
      <c r="H17" s="5">
        <f>SUM(B4:G4)</f>
        <v>4640</v>
      </c>
      <c r="I17" s="5">
        <v>-2910</v>
      </c>
      <c r="J17" s="5">
        <f>SUM(H17:I17)</f>
        <v>1730</v>
      </c>
      <c r="K17" s="5"/>
      <c r="L17" s="71"/>
      <c r="M17" s="138">
        <f>SUM(B4:H4)</f>
        <v>5368</v>
      </c>
      <c r="N17" s="1">
        <v>-2910</v>
      </c>
      <c r="O17" s="1">
        <v>2100</v>
      </c>
      <c r="P17" s="6">
        <f>SUM(M17:O17)</f>
        <v>4558</v>
      </c>
      <c r="Q17" s="5"/>
      <c r="U17">
        <v>-600</v>
      </c>
    </row>
    <row r="18" spans="1:23" ht="21" customHeight="1">
      <c r="A18" s="107" t="s">
        <v>81</v>
      </c>
      <c r="B18" s="5">
        <f>SUM(B16:B17)</f>
        <v>28752</v>
      </c>
      <c r="C18" s="5">
        <f>SUM(C16:C17)</f>
        <v>-9660</v>
      </c>
      <c r="D18" s="97">
        <f>SUM(B18:C18)</f>
        <v>19092</v>
      </c>
      <c r="G18" s="107" t="s">
        <v>81</v>
      </c>
      <c r="H18" s="71">
        <f>SUM(H16:H17)</f>
        <v>33940</v>
      </c>
      <c r="I18" s="71">
        <f>SUM(I16:I17)</f>
        <v>-12110</v>
      </c>
      <c r="J18" s="71">
        <f>SUM(J16:J17)</f>
        <v>21830</v>
      </c>
      <c r="K18" s="5"/>
      <c r="L18" s="71"/>
      <c r="M18" s="138">
        <f>SUM(B5:H5)</f>
        <v>39128</v>
      </c>
      <c r="N18" s="2">
        <f>SUM(N16:N17)</f>
        <v>-12110</v>
      </c>
      <c r="O18" s="1">
        <f>SUM(O16:O17)</f>
        <v>2100</v>
      </c>
      <c r="P18" s="6">
        <f>SUM(P16:P17)</f>
        <v>29118</v>
      </c>
      <c r="Q18" s="5"/>
      <c r="R18">
        <f>SUM(P18:Q18)</f>
        <v>29118</v>
      </c>
      <c r="U18">
        <v>200</v>
      </c>
      <c r="W18">
        <f>SUM(B3:L3)</f>
        <v>51600</v>
      </c>
    </row>
    <row r="19" spans="1:23" ht="21.75" customHeight="1">
      <c r="A19" s="107">
        <v>602</v>
      </c>
      <c r="B19" s="5">
        <v>9202</v>
      </c>
      <c r="C19" s="5">
        <v>-600</v>
      </c>
      <c r="D19" s="97">
        <f>SUM(B19:C19)</f>
        <v>8602</v>
      </c>
      <c r="G19" s="107">
        <v>602</v>
      </c>
      <c r="H19" s="5">
        <f>SUM(B6:G6)</f>
        <v>10752</v>
      </c>
      <c r="I19" s="5">
        <v>-600</v>
      </c>
      <c r="J19" s="5">
        <f>SUM(H19:I19)</f>
        <v>10152</v>
      </c>
      <c r="K19" s="5">
        <v>168</v>
      </c>
      <c r="L19" s="71">
        <f>SUM(J19:K19)</f>
        <v>10320</v>
      </c>
      <c r="M19" s="138">
        <f>SUM(B6:H6)</f>
        <v>12302</v>
      </c>
      <c r="N19" s="1">
        <v>-600</v>
      </c>
      <c r="O19" s="1">
        <v>20000</v>
      </c>
      <c r="P19" s="6">
        <f>SUM(M19:O19)</f>
        <v>31702</v>
      </c>
      <c r="Q19" s="5">
        <v>168</v>
      </c>
      <c r="R19">
        <f>SUM(P19:Q19)</f>
        <v>31870</v>
      </c>
      <c r="U19">
        <f>SUM(U16:U18)</f>
        <v>19680</v>
      </c>
      <c r="W19">
        <v>-4900</v>
      </c>
    </row>
    <row r="20" spans="1:23">
      <c r="A20" s="96"/>
      <c r="B20" s="5"/>
      <c r="C20" s="5"/>
      <c r="D20" s="97"/>
      <c r="G20" s="101"/>
      <c r="H20" s="5"/>
      <c r="I20" s="5"/>
      <c r="J20" s="5"/>
      <c r="K20" s="5"/>
      <c r="L20" s="71"/>
      <c r="M20" s="138"/>
      <c r="N20" s="1"/>
      <c r="O20" s="1"/>
      <c r="P20" s="6"/>
      <c r="W20">
        <v>-168</v>
      </c>
    </row>
    <row r="21" spans="1:23" ht="18.75" customHeight="1">
      <c r="A21" s="108" t="s">
        <v>88</v>
      </c>
      <c r="B21" s="5">
        <f>SUM(B18:B19)</f>
        <v>37954</v>
      </c>
      <c r="C21" s="5">
        <f>SUM(C18:C19)</f>
        <v>-10260</v>
      </c>
      <c r="D21" s="97">
        <f>SUM(D18:D19)</f>
        <v>27694</v>
      </c>
      <c r="G21" s="108" t="s">
        <v>88</v>
      </c>
      <c r="H21" s="5">
        <f>SUM(H18:H19)</f>
        <v>44692</v>
      </c>
      <c r="I21" s="5">
        <f>SUM(I18:I19)</f>
        <v>-12710</v>
      </c>
      <c r="J21" s="5">
        <f>SUM(J18:J19)</f>
        <v>31982</v>
      </c>
      <c r="K21" s="5"/>
      <c r="L21" s="71"/>
      <c r="M21" s="138">
        <f>SUM(M18:M19)</f>
        <v>51430</v>
      </c>
      <c r="N21" s="138">
        <f>SUM(N18:N19)</f>
        <v>-12710</v>
      </c>
      <c r="O21" s="138">
        <f>SUM(O18:O19)</f>
        <v>22100</v>
      </c>
      <c r="P21" s="6">
        <f>SUM(P18:P19)</f>
        <v>60820</v>
      </c>
      <c r="W21">
        <f>SUM(W18:W20)</f>
        <v>46532</v>
      </c>
    </row>
    <row r="22" spans="1:23" ht="13.5" thickBot="1">
      <c r="A22" s="96"/>
      <c r="B22" s="5"/>
      <c r="C22" s="5"/>
      <c r="D22" s="97"/>
      <c r="G22" s="102"/>
      <c r="H22" s="99"/>
      <c r="I22" s="99"/>
      <c r="J22" s="99"/>
      <c r="K22" s="99">
        <f>SUM(H21:I21)</f>
        <v>31982</v>
      </c>
      <c r="L22" s="115"/>
      <c r="M22" s="139"/>
      <c r="N22" s="7"/>
      <c r="O22" s="7"/>
      <c r="P22" s="8">
        <f>SUM(M21:O21)</f>
        <v>60820</v>
      </c>
      <c r="W22">
        <v>-9200</v>
      </c>
    </row>
    <row r="23" spans="1:23" ht="13.5" thickBot="1">
      <c r="A23" s="98"/>
      <c r="B23" s="99"/>
      <c r="C23" s="99"/>
      <c r="D23" s="100">
        <f>SUM(B21:C21)</f>
        <v>27694</v>
      </c>
      <c r="W23">
        <f>SUM(W21:W22)</f>
        <v>37332</v>
      </c>
    </row>
    <row r="25" spans="1:23" ht="21" thickBot="1">
      <c r="A25" s="142"/>
      <c r="B25" s="143"/>
      <c r="C25" s="5"/>
      <c r="D25" s="5"/>
      <c r="E25" s="5"/>
      <c r="F25" s="5"/>
      <c r="G25" s="5"/>
      <c r="H25" s="5"/>
      <c r="I25" s="141"/>
      <c r="J25" s="5"/>
      <c r="K25" s="5"/>
      <c r="L25" s="141"/>
      <c r="M25" s="141"/>
      <c r="N25" s="5"/>
      <c r="O25" s="5" t="s">
        <v>93</v>
      </c>
      <c r="P25" s="5"/>
      <c r="U25" t="s">
        <v>91</v>
      </c>
    </row>
    <row r="26" spans="1:23" ht="21" thickBot="1">
      <c r="A26" s="142"/>
      <c r="B26" s="143"/>
      <c r="C26" s="5"/>
      <c r="D26" s="5"/>
      <c r="G26" s="134"/>
      <c r="H26" s="135"/>
      <c r="I26" s="133" t="s">
        <v>108</v>
      </c>
      <c r="J26" s="135"/>
      <c r="K26" s="135"/>
      <c r="L26" s="133"/>
      <c r="M26" s="141"/>
      <c r="N26" s="5"/>
      <c r="O26" s="5"/>
      <c r="P26" s="5"/>
      <c r="U26" t="s">
        <v>91</v>
      </c>
    </row>
    <row r="27" spans="1:23" ht="15.75" customHeight="1">
      <c r="A27" s="142"/>
      <c r="B27" s="5"/>
      <c r="C27" s="104"/>
      <c r="D27" s="5"/>
      <c r="G27" s="96" t="s">
        <v>87</v>
      </c>
      <c r="H27" s="5" t="s">
        <v>84</v>
      </c>
      <c r="I27" s="104" t="s">
        <v>85</v>
      </c>
      <c r="J27" s="5" t="s">
        <v>86</v>
      </c>
      <c r="K27" s="5"/>
      <c r="L27" s="71"/>
      <c r="M27" s="5"/>
      <c r="N27" s="5"/>
      <c r="O27" s="5"/>
      <c r="P27" s="5"/>
    </row>
    <row r="28" spans="1:23" ht="19.5" customHeight="1">
      <c r="A28" s="144"/>
      <c r="B28" s="5"/>
      <c r="C28" s="5"/>
      <c r="D28" s="5"/>
      <c r="G28" s="107">
        <v>600</v>
      </c>
      <c r="H28" s="5">
        <f>SUM(B3:I3)</f>
        <v>38220</v>
      </c>
      <c r="I28" s="1">
        <v>-9200</v>
      </c>
      <c r="J28" s="1"/>
      <c r="K28" s="5"/>
      <c r="L28" s="71">
        <f>SUM(H28:J28)</f>
        <v>29020</v>
      </c>
      <c r="M28" s="5">
        <v>-168</v>
      </c>
      <c r="N28" s="5">
        <v>27638</v>
      </c>
      <c r="O28" s="149">
        <v>1382</v>
      </c>
      <c r="P28" s="5">
        <v>-168</v>
      </c>
      <c r="Q28">
        <f>SUM(O28:P28)</f>
        <v>1214</v>
      </c>
      <c r="U28">
        <v>20080</v>
      </c>
    </row>
    <row r="29" spans="1:23" ht="19.5" customHeight="1">
      <c r="A29" s="144"/>
      <c r="B29" s="5"/>
      <c r="C29" s="5"/>
      <c r="D29" s="5"/>
      <c r="G29" s="107" t="s">
        <v>109</v>
      </c>
      <c r="H29" s="5"/>
      <c r="I29" s="1"/>
      <c r="J29" s="1"/>
      <c r="K29" s="5"/>
      <c r="L29" s="71">
        <v>1382</v>
      </c>
      <c r="M29" s="5">
        <v>-168</v>
      </c>
      <c r="N29" s="5">
        <f>SUM(L29:M29)</f>
        <v>1214</v>
      </c>
      <c r="O29" s="149"/>
      <c r="P29" s="5"/>
    </row>
    <row r="30" spans="1:23" ht="19.5" customHeight="1">
      <c r="A30" s="144"/>
      <c r="B30" s="5"/>
      <c r="C30" s="5"/>
      <c r="D30" s="5"/>
      <c r="G30" s="107">
        <v>601</v>
      </c>
      <c r="H30" s="5">
        <f>SUM(B4:I4)</f>
        <v>6096</v>
      </c>
      <c r="I30" s="1">
        <v>-2910</v>
      </c>
      <c r="J30" s="1">
        <v>2100</v>
      </c>
      <c r="K30" s="5"/>
      <c r="L30" s="71">
        <f>SUM(H30:J30)</f>
        <v>5286</v>
      </c>
      <c r="M30" s="5"/>
      <c r="N30" s="5">
        <v>5286</v>
      </c>
      <c r="O30" s="5"/>
      <c r="P30" s="5"/>
      <c r="Q30" s="5"/>
      <c r="U30">
        <v>-600</v>
      </c>
    </row>
    <row r="31" spans="1:23" ht="21" customHeight="1">
      <c r="A31" s="144"/>
      <c r="B31" s="5"/>
      <c r="C31" s="5"/>
      <c r="D31" s="5"/>
      <c r="G31" s="107" t="s">
        <v>81</v>
      </c>
      <c r="H31" s="71">
        <f>SUM(H28:H30)</f>
        <v>44316</v>
      </c>
      <c r="I31" s="2">
        <f>SUM(I28:I30)</f>
        <v>-12110</v>
      </c>
      <c r="J31" s="1">
        <f>SUM(J28:J30)</f>
        <v>2100</v>
      </c>
      <c r="K31" s="5">
        <f>SUM(K28:K30)</f>
        <v>0</v>
      </c>
      <c r="L31" s="71">
        <f>SUM(L28:L30)</f>
        <v>35688</v>
      </c>
      <c r="M31" s="5"/>
      <c r="N31" s="71">
        <f>SUM(N28+N30)</f>
        <v>32924</v>
      </c>
      <c r="O31" s="5"/>
      <c r="P31" s="5"/>
      <c r="Q31" s="5"/>
      <c r="R31">
        <f>SUM(P31:Q31)</f>
        <v>0</v>
      </c>
      <c r="U31">
        <v>168</v>
      </c>
    </row>
    <row r="32" spans="1:23" ht="21.75" customHeight="1">
      <c r="A32" s="144"/>
      <c r="B32" s="5"/>
      <c r="C32" s="5"/>
      <c r="D32" s="5"/>
      <c r="G32" s="107">
        <v>602</v>
      </c>
      <c r="H32" s="5">
        <f>SUM(B6:I6)</f>
        <v>13852</v>
      </c>
      <c r="I32" s="1">
        <v>-600</v>
      </c>
      <c r="J32" s="1"/>
      <c r="K32" s="5"/>
      <c r="L32" s="71">
        <f>SUM(H32:K32)</f>
        <v>13252</v>
      </c>
      <c r="M32" s="5">
        <v>168</v>
      </c>
      <c r="N32" s="5">
        <f>SUM(L32:M32)</f>
        <v>13420</v>
      </c>
      <c r="O32" s="5"/>
      <c r="P32" s="5"/>
      <c r="Q32" s="5">
        <v>168</v>
      </c>
      <c r="R32">
        <f>SUM(P32:Q32)</f>
        <v>168</v>
      </c>
      <c r="U32">
        <f>SUM(U28:U31)</f>
        <v>19648</v>
      </c>
    </row>
    <row r="33" spans="1:18" ht="13.5" thickBot="1">
      <c r="A33" s="142"/>
      <c r="B33" s="5"/>
      <c r="C33" s="5"/>
      <c r="D33" s="5"/>
      <c r="G33" s="101"/>
      <c r="H33" s="5"/>
      <c r="I33" s="145"/>
      <c r="J33" s="145"/>
      <c r="K33" s="5"/>
      <c r="L33" s="71"/>
      <c r="M33" s="5"/>
      <c r="N33" s="5"/>
      <c r="O33" s="5"/>
      <c r="P33" s="5"/>
    </row>
    <row r="34" spans="1:18" ht="18.75" customHeight="1" thickBot="1">
      <c r="A34" s="71"/>
      <c r="B34" s="5"/>
      <c r="C34" s="5"/>
      <c r="D34" s="5"/>
      <c r="G34" s="146" t="s">
        <v>88</v>
      </c>
      <c r="H34" s="135">
        <f>SUM(H31:H32)</f>
        <v>58168</v>
      </c>
      <c r="I34" s="135">
        <f>SUM(I31:I32)</f>
        <v>-12710</v>
      </c>
      <c r="J34" s="135">
        <f>SUM(J31:J32)</f>
        <v>2100</v>
      </c>
      <c r="K34" s="135">
        <f>SUM(K31:K32)</f>
        <v>0</v>
      </c>
      <c r="L34" s="147">
        <f>SUM(L31:L32)</f>
        <v>48940</v>
      </c>
      <c r="M34" s="149">
        <f>SUM(M28:M32)</f>
        <v>-168</v>
      </c>
      <c r="N34" s="149">
        <f>SUM(N31:N32)</f>
        <v>46344</v>
      </c>
      <c r="O34" s="5"/>
      <c r="P34" s="5"/>
    </row>
    <row r="35" spans="1:18" ht="13.5" thickBot="1">
      <c r="A35" s="142"/>
      <c r="B35" s="5"/>
      <c r="C35" s="5"/>
      <c r="D35" s="5"/>
      <c r="G35" s="102"/>
      <c r="H35" s="99"/>
      <c r="I35" s="99"/>
      <c r="J35" s="99"/>
      <c r="K35" s="99"/>
      <c r="L35" s="115">
        <f>SUM(H34:J34)</f>
        <v>47558</v>
      </c>
      <c r="M35" s="5"/>
      <c r="N35" s="5"/>
      <c r="O35" s="5"/>
      <c r="P35" s="5"/>
    </row>
    <row r="36" spans="1:18">
      <c r="A36" s="142"/>
      <c r="B36" s="5"/>
      <c r="C36" s="5"/>
      <c r="D36" s="5"/>
      <c r="M36" s="5"/>
      <c r="N36" s="5"/>
      <c r="O36" s="5"/>
      <c r="P36" s="5"/>
    </row>
    <row r="37" spans="1:18" ht="13.5" thickBot="1">
      <c r="A37" s="142"/>
      <c r="B37" s="5"/>
      <c r="C37" s="5"/>
      <c r="D37" s="5"/>
    </row>
    <row r="38" spans="1:18" ht="21" thickBot="1">
      <c r="A38" s="142"/>
      <c r="B38" s="5"/>
      <c r="C38" s="5">
        <f>SUM(B4:L4)</f>
        <v>8280</v>
      </c>
      <c r="D38" s="5"/>
      <c r="G38" s="134"/>
      <c r="H38" s="135"/>
      <c r="I38" s="133" t="s">
        <v>110</v>
      </c>
      <c r="J38" s="135"/>
      <c r="K38" s="135"/>
      <c r="L38" s="133"/>
      <c r="M38" s="141"/>
      <c r="N38" s="5"/>
      <c r="O38" s="5"/>
      <c r="P38" s="5"/>
    </row>
    <row r="39" spans="1:18">
      <c r="C39">
        <v>-2910</v>
      </c>
      <c r="G39" s="96" t="s">
        <v>87</v>
      </c>
      <c r="H39" s="5" t="s">
        <v>84</v>
      </c>
      <c r="I39" s="104" t="s">
        <v>85</v>
      </c>
      <c r="J39" s="5" t="s">
        <v>86</v>
      </c>
      <c r="K39" s="5"/>
      <c r="L39" s="71"/>
      <c r="M39" s="5"/>
      <c r="N39" s="5"/>
      <c r="O39" s="5"/>
      <c r="P39" s="5"/>
    </row>
    <row r="40" spans="1:18" ht="16.5" customHeight="1">
      <c r="G40" s="107">
        <v>600</v>
      </c>
      <c r="H40" s="5">
        <f>SUM(B3:J3)</f>
        <v>42680</v>
      </c>
      <c r="I40" s="1">
        <v>-9200</v>
      </c>
      <c r="J40" s="1"/>
      <c r="K40" s="5"/>
      <c r="L40" s="71">
        <f>SUM(H40:K40)</f>
        <v>33480</v>
      </c>
      <c r="M40" s="5">
        <v>-168</v>
      </c>
      <c r="N40" s="5">
        <f>SUM(L40:M40)</f>
        <v>33312</v>
      </c>
      <c r="O40" s="149">
        <v>1382</v>
      </c>
      <c r="P40" s="5">
        <v>-168</v>
      </c>
      <c r="Q40">
        <f>SUM(O40:P40)</f>
        <v>1214</v>
      </c>
    </row>
    <row r="41" spans="1:18">
      <c r="G41" s="107" t="s">
        <v>109</v>
      </c>
      <c r="H41" s="5"/>
      <c r="I41" s="1"/>
      <c r="J41" s="1"/>
      <c r="K41" s="5"/>
      <c r="L41" s="71">
        <v>1607</v>
      </c>
      <c r="M41" s="5">
        <v>-168</v>
      </c>
      <c r="N41" s="5">
        <f>SUM(L41:M41)</f>
        <v>1439</v>
      </c>
      <c r="O41" s="149"/>
      <c r="P41" s="5"/>
    </row>
    <row r="42" spans="1:18">
      <c r="G42" s="107">
        <v>601</v>
      </c>
      <c r="H42" s="5">
        <f>SUM(B4:J4)</f>
        <v>6824</v>
      </c>
      <c r="I42" s="1">
        <v>-2910</v>
      </c>
      <c r="J42" s="1">
        <v>2100</v>
      </c>
      <c r="K42" s="5"/>
      <c r="L42" s="71">
        <f>SUM(H42:J42)</f>
        <v>6014</v>
      </c>
      <c r="M42" s="5">
        <v>570</v>
      </c>
      <c r="N42" s="5">
        <f>SUM(L42:M42)</f>
        <v>6584</v>
      </c>
      <c r="O42" s="5">
        <v>88</v>
      </c>
      <c r="P42" s="5">
        <f>SUM(N42:O42)</f>
        <v>6672</v>
      </c>
      <c r="Q42" s="5"/>
    </row>
    <row r="43" spans="1:18">
      <c r="G43" s="107" t="s">
        <v>81</v>
      </c>
      <c r="H43" s="71">
        <f>SUM(H40:H42)</f>
        <v>49504</v>
      </c>
      <c r="I43" s="2">
        <f>SUM(I40:I42)</f>
        <v>-12110</v>
      </c>
      <c r="J43" s="1">
        <f>SUM(J40:J42)</f>
        <v>2100</v>
      </c>
      <c r="K43" s="5">
        <f>SUM(K40:K42)</f>
        <v>0</v>
      </c>
      <c r="L43" s="71">
        <f>SUM(L40:L42)</f>
        <v>41101</v>
      </c>
      <c r="M43" s="5"/>
      <c r="N43" s="71">
        <f>SUM(N40+N42)</f>
        <v>39896</v>
      </c>
      <c r="O43" s="5"/>
      <c r="P43" s="5"/>
      <c r="Q43" s="5"/>
      <c r="R43">
        <f>SUM(P43:Q43)</f>
        <v>0</v>
      </c>
    </row>
    <row r="44" spans="1:18">
      <c r="G44" s="107">
        <v>602</v>
      </c>
      <c r="H44" s="5">
        <f>SUM(B6:J6)</f>
        <v>15402</v>
      </c>
      <c r="I44" s="1">
        <v>-600</v>
      </c>
      <c r="J44" s="1"/>
      <c r="K44" s="5"/>
      <c r="L44" s="71">
        <f>SUM(H44:K44)</f>
        <v>14802</v>
      </c>
      <c r="M44" s="5">
        <v>168</v>
      </c>
      <c r="N44" s="5">
        <f>SUM(L44:M44)</f>
        <v>14970</v>
      </c>
      <c r="O44" s="5"/>
      <c r="P44" s="5"/>
      <c r="Q44" s="5">
        <v>168</v>
      </c>
      <c r="R44">
        <f>SUM(P44:Q44)</f>
        <v>168</v>
      </c>
    </row>
    <row r="45" spans="1:18" ht="13.5" thickBot="1">
      <c r="G45" s="101"/>
      <c r="H45" s="5"/>
      <c r="I45" s="145"/>
      <c r="J45" s="145"/>
      <c r="K45" s="5"/>
      <c r="L45" s="71"/>
      <c r="M45" s="5"/>
      <c r="N45" s="5"/>
      <c r="O45" s="5"/>
      <c r="P45" s="5"/>
    </row>
    <row r="46" spans="1:18" ht="13.5" thickBot="1">
      <c r="G46" s="146" t="s">
        <v>88</v>
      </c>
      <c r="H46" s="135">
        <f>SUM(H43:H44)</f>
        <v>64906</v>
      </c>
      <c r="I46" s="135">
        <f>SUM(I43:I44)</f>
        <v>-12710</v>
      </c>
      <c r="J46" s="135">
        <f>SUM(J43:J44)</f>
        <v>2100</v>
      </c>
      <c r="K46" s="135">
        <f>SUM(K43:K44)</f>
        <v>0</v>
      </c>
      <c r="L46" s="147">
        <f>SUM(L43:L44)</f>
        <v>55903</v>
      </c>
      <c r="M46" s="149">
        <f>SUM(M40:M44)</f>
        <v>402</v>
      </c>
      <c r="N46" s="149">
        <f>SUM(N43:N44)</f>
        <v>54866</v>
      </c>
      <c r="O46" s="5"/>
      <c r="P46" s="5"/>
    </row>
    <row r="47" spans="1:18" ht="13.5" thickBot="1">
      <c r="G47" s="102"/>
      <c r="H47" s="99"/>
      <c r="I47" s="99"/>
      <c r="J47" s="99"/>
      <c r="K47" s="99"/>
      <c r="L47" s="115">
        <f>SUM(H46:J46)</f>
        <v>54296</v>
      </c>
      <c r="M47" s="5"/>
      <c r="N47" s="5"/>
      <c r="O47" s="5"/>
      <c r="P47" s="5"/>
    </row>
    <row r="48" spans="1:18" ht="21" thickBot="1">
      <c r="G48" s="134"/>
      <c r="H48" s="135"/>
      <c r="I48" s="133" t="s">
        <v>114</v>
      </c>
      <c r="J48" s="135"/>
      <c r="K48" s="135"/>
      <c r="L48" s="133"/>
      <c r="M48" s="141"/>
      <c r="N48" s="5"/>
      <c r="O48" s="5"/>
      <c r="P48" s="5"/>
    </row>
    <row r="49" spans="7:20" ht="13.5" thickBot="1">
      <c r="G49" s="96" t="s">
        <v>87</v>
      </c>
      <c r="H49" s="5" t="s">
        <v>84</v>
      </c>
      <c r="I49" s="104" t="s">
        <v>85</v>
      </c>
      <c r="J49" s="5" t="s">
        <v>86</v>
      </c>
      <c r="K49" s="153"/>
      <c r="L49" s="147"/>
      <c r="M49" s="5"/>
      <c r="N49" s="5"/>
    </row>
    <row r="50" spans="7:20" ht="13.5" thickBot="1">
      <c r="G50" s="107">
        <v>600</v>
      </c>
      <c r="H50" s="5">
        <f>SUM(B3:K3)</f>
        <v>47140</v>
      </c>
      <c r="I50" s="150">
        <v>-9200</v>
      </c>
      <c r="J50" s="152">
        <v>-4900</v>
      </c>
      <c r="K50" s="5"/>
      <c r="L50" s="71">
        <f>SUM(H50:J50)</f>
        <v>33040</v>
      </c>
      <c r="M50" s="5"/>
      <c r="N50" s="5"/>
      <c r="P50">
        <v>33040</v>
      </c>
      <c r="Q50">
        <v>-168</v>
      </c>
      <c r="R50">
        <f>SUM(P50:Q50)</f>
        <v>32872</v>
      </c>
    </row>
    <row r="51" spans="7:20">
      <c r="G51" s="107" t="s">
        <v>109</v>
      </c>
      <c r="H51" s="5"/>
      <c r="I51" s="1"/>
      <c r="J51" s="151"/>
      <c r="K51" s="5"/>
      <c r="L51" s="71">
        <v>1574</v>
      </c>
      <c r="M51" s="5">
        <v>-168</v>
      </c>
      <c r="N51" s="5">
        <f>SUM(L51:M51)</f>
        <v>1406</v>
      </c>
    </row>
    <row r="52" spans="7:20">
      <c r="G52" s="107">
        <v>601</v>
      </c>
      <c r="H52" s="5">
        <f>SUM(B4:K4)</f>
        <v>7552</v>
      </c>
      <c r="I52" s="1">
        <v>-2910</v>
      </c>
      <c r="J52" s="1">
        <v>2100</v>
      </c>
      <c r="K52" s="5"/>
      <c r="L52" s="71">
        <f>SUM(H52:J52)</f>
        <v>6742</v>
      </c>
      <c r="M52" s="5">
        <v>570</v>
      </c>
      <c r="N52" s="5">
        <f>SUM(L52:M52)</f>
        <v>7312</v>
      </c>
      <c r="P52">
        <v>88</v>
      </c>
      <c r="Q52">
        <f>SUM(N52:P52)</f>
        <v>7400</v>
      </c>
      <c r="R52">
        <v>6672</v>
      </c>
    </row>
    <row r="53" spans="7:20">
      <c r="G53" s="107" t="s">
        <v>81</v>
      </c>
      <c r="H53" s="71">
        <f>SUM(H50:H52)</f>
        <v>54692</v>
      </c>
      <c r="I53" s="2">
        <f>SUM(I50:I52)</f>
        <v>-12110</v>
      </c>
      <c r="J53" s="1">
        <f>SUM(J50:J52)</f>
        <v>-2800</v>
      </c>
      <c r="K53" s="5">
        <f>SUM(K50:K52)</f>
        <v>0</v>
      </c>
      <c r="L53" s="71">
        <f>SUM(L50:L52)</f>
        <v>41356</v>
      </c>
      <c r="M53" s="5"/>
      <c r="N53" s="71">
        <f>SUM(N50+N52)</f>
        <v>7312</v>
      </c>
      <c r="R53">
        <f>SUM(R50:R52)</f>
        <v>39544</v>
      </c>
    </row>
    <row r="54" spans="7:20">
      <c r="G54" s="107">
        <v>602</v>
      </c>
      <c r="H54" s="5">
        <f>SUM(B6:K6)</f>
        <v>16952</v>
      </c>
      <c r="I54" s="1">
        <v>-600</v>
      </c>
      <c r="J54" s="1"/>
      <c r="K54" s="5"/>
      <c r="L54" s="71">
        <f>SUM(H54:K54)</f>
        <v>16352</v>
      </c>
      <c r="M54" s="5">
        <v>168</v>
      </c>
      <c r="N54" s="5">
        <f>SUM(L54:M54)</f>
        <v>16520</v>
      </c>
    </row>
    <row r="55" spans="7:20" ht="13.5" thickBot="1">
      <c r="G55" s="101"/>
      <c r="H55" s="5"/>
      <c r="I55" s="145"/>
      <c r="J55" s="145"/>
      <c r="K55" s="5"/>
      <c r="L55" s="71"/>
      <c r="M55" s="5"/>
      <c r="N55" s="5"/>
    </row>
    <row r="56" spans="7:20" ht="13.5" thickBot="1">
      <c r="G56" s="146" t="s">
        <v>88</v>
      </c>
      <c r="H56" s="135">
        <f>SUM(H53:H54)</f>
        <v>71644</v>
      </c>
      <c r="I56" s="135">
        <f>SUM(I53:I54)</f>
        <v>-12710</v>
      </c>
      <c r="J56" s="135">
        <f>SUM(J53:J54)</f>
        <v>-2800</v>
      </c>
      <c r="K56" s="135">
        <f>SUM(K53:K54)</f>
        <v>0</v>
      </c>
      <c r="L56" s="147">
        <f>SUM(L53:L54)</f>
        <v>57708</v>
      </c>
      <c r="M56" s="149">
        <f>SUM(M50:M54)</f>
        <v>570</v>
      </c>
      <c r="N56" s="149">
        <f>SUM(N53:N54)</f>
        <v>23832</v>
      </c>
      <c r="T56" s="157" t="s">
        <v>119</v>
      </c>
    </row>
    <row r="57" spans="7:20" ht="13.5" thickBot="1">
      <c r="G57" s="102"/>
      <c r="H57" s="99"/>
      <c r="I57" s="99"/>
      <c r="J57" s="99"/>
      <c r="K57" s="99"/>
      <c r="L57" s="115">
        <f>SUM(H56:J56)</f>
        <v>56134</v>
      </c>
      <c r="M57" s="5"/>
      <c r="N57" s="5"/>
      <c r="T57" s="161">
        <v>602</v>
      </c>
    </row>
    <row r="58" spans="7:20" ht="21" customHeight="1">
      <c r="M58" s="5"/>
      <c r="N58" s="5"/>
      <c r="P58">
        <f>SUM(S26)</f>
        <v>0</v>
      </c>
      <c r="R58">
        <f>SUM(B6:L6)</f>
        <v>18502</v>
      </c>
      <c r="S58">
        <f>SUM(B4:K4)</f>
        <v>7552</v>
      </c>
      <c r="T58">
        <f>SUM(B6:M6)</f>
        <v>20080</v>
      </c>
    </row>
    <row r="59" spans="7:20">
      <c r="R59">
        <v>-600</v>
      </c>
      <c r="T59">
        <v>-600</v>
      </c>
    </row>
    <row r="60" spans="7:20" ht="16.5" customHeight="1">
      <c r="H60">
        <f>SUM(B6:L6)</f>
        <v>18502</v>
      </c>
      <c r="I60">
        <v>168</v>
      </c>
      <c r="J60">
        <v>-600</v>
      </c>
      <c r="K60">
        <f>SUM(H60:J60)</f>
        <v>18070</v>
      </c>
      <c r="R60">
        <v>168</v>
      </c>
      <c r="T60">
        <v>168</v>
      </c>
    </row>
    <row r="61" spans="7:20">
      <c r="H61">
        <v>1578</v>
      </c>
      <c r="R61">
        <f>SUM(R58:R60)</f>
        <v>18070</v>
      </c>
      <c r="T61">
        <f>SUM(T58:T60)</f>
        <v>19648</v>
      </c>
    </row>
    <row r="62" spans="7:20">
      <c r="H62">
        <f>SUM(H60:H61)</f>
        <v>20080</v>
      </c>
    </row>
    <row r="63" spans="7:20">
      <c r="H63">
        <v>168</v>
      </c>
    </row>
    <row r="64" spans="7:20">
      <c r="H64">
        <v>-600</v>
      </c>
    </row>
    <row r="65" spans="8:8">
      <c r="H65">
        <f>SUM(H62:H64)</f>
        <v>19648</v>
      </c>
    </row>
  </sheetData>
  <phoneticPr fontId="5"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77"/>
  <sheetViews>
    <sheetView topLeftCell="A22" zoomScale="70" zoomScaleNormal="70" workbookViewId="0">
      <selection activeCell="Y45" sqref="Y45"/>
    </sheetView>
  </sheetViews>
  <sheetFormatPr defaultRowHeight="15"/>
  <cols>
    <col min="2" max="2" width="14.7109375" customWidth="1"/>
    <col min="3" max="3" width="14.85546875" customWidth="1"/>
    <col min="4" max="4" width="13" customWidth="1"/>
    <col min="5" max="5" width="14.85546875" customWidth="1"/>
    <col min="6" max="6" width="13.28515625" customWidth="1"/>
    <col min="7" max="7" width="10.28515625" bestFit="1" customWidth="1"/>
    <col min="8" max="8" width="10.42578125" customWidth="1"/>
    <col min="10" max="10" width="14.5703125" bestFit="1" customWidth="1"/>
    <col min="11" max="11" width="10.140625" bestFit="1" customWidth="1"/>
    <col min="12" max="12" width="15" bestFit="1" customWidth="1"/>
    <col min="13" max="13" width="10.7109375" bestFit="1" customWidth="1"/>
    <col min="14" max="14" width="13.42578125" bestFit="1" customWidth="1"/>
    <col min="15" max="15" width="15.28515625" bestFit="1" customWidth="1"/>
    <col min="16" max="16" width="19.7109375" bestFit="1" customWidth="1"/>
    <col min="17" max="17" width="14.42578125" bestFit="1" customWidth="1"/>
    <col min="18" max="18" width="4.42578125" style="168" customWidth="1"/>
    <col min="19" max="19" width="5.7109375" customWidth="1"/>
    <col min="20" max="20" width="4.85546875" customWidth="1"/>
    <col min="21" max="21" width="10.140625" bestFit="1" customWidth="1"/>
    <col min="23" max="23" width="22.85546875" customWidth="1"/>
    <col min="24" max="24" width="10.28515625" bestFit="1" customWidth="1"/>
  </cols>
  <sheetData>
    <row r="1" spans="2:18" ht="15.75" thickBot="1">
      <c r="B1" s="168"/>
      <c r="C1" s="168"/>
      <c r="D1" s="168"/>
      <c r="E1" s="168"/>
      <c r="F1" s="168"/>
      <c r="G1" s="168"/>
      <c r="H1" s="168"/>
      <c r="I1" s="168"/>
      <c r="J1" s="168"/>
      <c r="K1" s="168"/>
      <c r="L1" s="168"/>
      <c r="M1" s="168"/>
      <c r="N1" s="168"/>
      <c r="O1" s="168"/>
      <c r="R1"/>
    </row>
    <row r="2" spans="2:18" ht="21" customHeight="1">
      <c r="B2" s="2566" t="s">
        <v>271</v>
      </c>
      <c r="C2" s="2567"/>
      <c r="D2" s="2567"/>
      <c r="E2" s="2567"/>
      <c r="F2" s="1240"/>
      <c r="G2" s="1240"/>
      <c r="H2" s="1240"/>
      <c r="I2" s="1240"/>
      <c r="J2" s="1240"/>
      <c r="K2" s="1240"/>
      <c r="L2" s="1240"/>
      <c r="M2" s="1240"/>
      <c r="N2" s="1240"/>
      <c r="O2" s="1241"/>
      <c r="R2"/>
    </row>
    <row r="3" spans="2:18" ht="36" customHeight="1" thickBot="1">
      <c r="B3" s="1242"/>
      <c r="C3" s="179" t="s">
        <v>544</v>
      </c>
      <c r="D3" s="179"/>
      <c r="E3" s="179"/>
      <c r="F3" s="177"/>
      <c r="G3" s="177"/>
      <c r="H3" s="177"/>
      <c r="I3" s="177"/>
      <c r="J3" s="177"/>
      <c r="K3" s="177"/>
      <c r="L3" s="177"/>
      <c r="M3" s="177"/>
      <c r="N3" s="177"/>
      <c r="O3" s="1243"/>
      <c r="R3"/>
    </row>
    <row r="4" spans="2:18" ht="24.75" customHeight="1" thickBot="1">
      <c r="B4" s="1237" t="s">
        <v>131</v>
      </c>
      <c r="C4" s="1235" t="s">
        <v>66</v>
      </c>
      <c r="D4" s="1238" t="s">
        <v>67</v>
      </c>
      <c r="E4" s="1234" t="s">
        <v>68</v>
      </c>
      <c r="F4" s="1235" t="s">
        <v>69</v>
      </c>
      <c r="G4" s="1235" t="s">
        <v>70</v>
      </c>
      <c r="H4" s="1235" t="s">
        <v>71</v>
      </c>
      <c r="I4" s="1235" t="s">
        <v>72</v>
      </c>
      <c r="J4" s="1236" t="s">
        <v>73</v>
      </c>
      <c r="K4" s="1239" t="s">
        <v>74</v>
      </c>
      <c r="L4" s="1235" t="s">
        <v>75</v>
      </c>
      <c r="M4" s="1235" t="s">
        <v>77</v>
      </c>
      <c r="N4" s="1238" t="s">
        <v>76</v>
      </c>
      <c r="O4" s="172" t="s">
        <v>82</v>
      </c>
      <c r="R4"/>
    </row>
    <row r="5" spans="2:18" ht="21.75" customHeight="1">
      <c r="B5" s="1244">
        <v>600</v>
      </c>
      <c r="C5" s="1228">
        <v>10000.299999999999</v>
      </c>
      <c r="D5" s="1228">
        <v>3012.7</v>
      </c>
      <c r="E5" s="1228">
        <v>2683.7</v>
      </c>
      <c r="F5" s="1228">
        <v>2683.7</v>
      </c>
      <c r="G5" s="1228">
        <v>2683.7</v>
      </c>
      <c r="H5" s="1228">
        <v>2683.7</v>
      </c>
      <c r="I5" s="1228">
        <v>2683.7</v>
      </c>
      <c r="J5" s="1228">
        <v>1183.6999999999998</v>
      </c>
      <c r="K5" s="1228">
        <v>2683.7</v>
      </c>
      <c r="L5" s="1260">
        <v>-16.300000000000182</v>
      </c>
      <c r="M5" s="1228">
        <v>2683.7</v>
      </c>
      <c r="N5" s="1228">
        <v>2683.7</v>
      </c>
      <c r="O5" s="188">
        <v>35650</v>
      </c>
      <c r="R5"/>
    </row>
    <row r="6" spans="2:18" ht="24" customHeight="1">
      <c r="B6" s="183">
        <v>601</v>
      </c>
      <c r="C6" s="195">
        <v>743</v>
      </c>
      <c r="D6" s="195">
        <v>257</v>
      </c>
      <c r="E6" s="195">
        <v>586</v>
      </c>
      <c r="F6" s="195">
        <v>586</v>
      </c>
      <c r="G6" s="195">
        <v>586</v>
      </c>
      <c r="H6" s="195">
        <v>586</v>
      </c>
      <c r="I6" s="195">
        <v>586</v>
      </c>
      <c r="J6" s="195">
        <v>86</v>
      </c>
      <c r="K6" s="195">
        <v>586</v>
      </c>
      <c r="L6" s="195">
        <v>586</v>
      </c>
      <c r="M6" s="195">
        <v>586</v>
      </c>
      <c r="N6" s="195">
        <v>356</v>
      </c>
      <c r="O6" s="190">
        <v>6130</v>
      </c>
      <c r="R6"/>
    </row>
    <row r="7" spans="2:18" ht="23.25" customHeight="1">
      <c r="B7" s="184" t="s">
        <v>81</v>
      </c>
      <c r="C7" s="1227">
        <v>10743.3</v>
      </c>
      <c r="D7" s="197">
        <v>3269.7</v>
      </c>
      <c r="E7" s="197">
        <v>3269.7</v>
      </c>
      <c r="F7" s="197">
        <v>3269.7</v>
      </c>
      <c r="G7" s="197">
        <v>3269.7</v>
      </c>
      <c r="H7" s="197">
        <v>3269.7</v>
      </c>
      <c r="I7" s="197">
        <v>3269.7</v>
      </c>
      <c r="J7" s="1258">
        <v>1269.6999999999998</v>
      </c>
      <c r="K7" s="197">
        <v>3269.7</v>
      </c>
      <c r="L7" s="197">
        <v>569.69999999999982</v>
      </c>
      <c r="M7" s="197">
        <v>3269.7</v>
      </c>
      <c r="N7" s="198">
        <v>3039.7</v>
      </c>
      <c r="O7" s="190">
        <v>41779.999999999993</v>
      </c>
      <c r="R7"/>
    </row>
    <row r="8" spans="2:18" ht="27.75" customHeight="1" thickBot="1">
      <c r="B8" s="630">
        <v>602</v>
      </c>
      <c r="C8" s="1259">
        <v>10153.130000000001</v>
      </c>
      <c r="D8" s="199">
        <v>1365</v>
      </c>
      <c r="E8" s="199">
        <v>1365</v>
      </c>
      <c r="F8" s="199">
        <v>1365</v>
      </c>
      <c r="G8" s="199">
        <v>1365</v>
      </c>
      <c r="H8" s="199">
        <v>1365</v>
      </c>
      <c r="I8" s="199">
        <v>1365</v>
      </c>
      <c r="J8" s="1259">
        <v>-1335</v>
      </c>
      <c r="K8" s="199">
        <v>1365</v>
      </c>
      <c r="L8" s="199">
        <v>1365</v>
      </c>
      <c r="M8" s="199">
        <v>1365</v>
      </c>
      <c r="N8" s="199">
        <v>23234.494999999999</v>
      </c>
      <c r="O8" s="1262">
        <v>44337.625</v>
      </c>
      <c r="R8"/>
    </row>
    <row r="9" spans="2:18" ht="27" customHeight="1">
      <c r="B9" s="846" t="s">
        <v>79</v>
      </c>
      <c r="C9" s="847">
        <v>20896.43</v>
      </c>
      <c r="D9" s="847">
        <v>4634.7</v>
      </c>
      <c r="E9" s="847">
        <v>4634.7</v>
      </c>
      <c r="F9" s="847">
        <v>4634.7</v>
      </c>
      <c r="G9" s="847">
        <v>4634.7</v>
      </c>
      <c r="H9" s="847">
        <v>4634.7</v>
      </c>
      <c r="I9" s="847">
        <v>4634.7</v>
      </c>
      <c r="J9" s="847">
        <v>-65.300000000000182</v>
      </c>
      <c r="K9" s="847">
        <v>4634.7</v>
      </c>
      <c r="L9" s="847">
        <v>1934.6999999999998</v>
      </c>
      <c r="M9" s="847">
        <v>4634.7</v>
      </c>
      <c r="N9" s="1270">
        <v>26274.195</v>
      </c>
      <c r="O9" s="1263">
        <v>86117.625</v>
      </c>
      <c r="R9"/>
    </row>
    <row r="10" spans="2:18" ht="27" customHeight="1" thickBot="1">
      <c r="B10" s="1255">
        <v>606</v>
      </c>
      <c r="C10" s="1256"/>
      <c r="D10" s="1256"/>
      <c r="E10" s="1256"/>
      <c r="F10" s="1256"/>
      <c r="G10" s="1261">
        <v>2131.87</v>
      </c>
      <c r="H10" s="1256"/>
      <c r="I10" s="1256"/>
      <c r="J10" s="1256"/>
      <c r="K10" s="1256"/>
      <c r="L10" s="1256"/>
      <c r="M10" s="1257"/>
      <c r="N10" s="1269"/>
      <c r="O10" s="1262">
        <v>2131.87</v>
      </c>
      <c r="R10"/>
    </row>
    <row r="11" spans="2:18" ht="35.25" customHeight="1" thickBot="1">
      <c r="B11" s="630">
        <v>231</v>
      </c>
      <c r="C11" s="678">
        <v>0</v>
      </c>
      <c r="D11" s="678"/>
      <c r="E11" s="678"/>
      <c r="F11" s="678"/>
      <c r="G11" s="678"/>
      <c r="H11" s="678"/>
      <c r="I11" s="678"/>
      <c r="J11" s="678"/>
      <c r="K11" s="678"/>
      <c r="L11" s="678"/>
      <c r="M11" s="1229"/>
      <c r="N11" s="1268"/>
      <c r="O11" s="1264">
        <v>0</v>
      </c>
      <c r="R11"/>
    </row>
    <row r="12" spans="2:18" ht="27" customHeight="1" thickBot="1">
      <c r="B12" s="2568" t="s">
        <v>546</v>
      </c>
      <c r="C12" s="2569"/>
      <c r="D12" s="2569"/>
      <c r="E12" s="2569"/>
      <c r="F12" s="1230"/>
      <c r="G12" s="1230"/>
      <c r="H12" s="1230"/>
      <c r="I12" s="1230"/>
      <c r="J12" s="1230"/>
      <c r="K12" s="1230"/>
      <c r="L12" s="1230"/>
      <c r="M12" s="1230"/>
      <c r="N12" s="1230"/>
      <c r="O12" s="1265">
        <f>O9+O11+O10</f>
        <v>88249.494999999995</v>
      </c>
      <c r="R12"/>
    </row>
    <row r="13" spans="2:18" ht="27" customHeight="1">
      <c r="B13" s="1245"/>
      <c r="C13" s="609"/>
      <c r="D13" s="609"/>
      <c r="E13" s="609"/>
      <c r="F13" s="609"/>
      <c r="G13" s="609"/>
      <c r="H13" s="609"/>
      <c r="I13" s="609"/>
      <c r="J13" s="609"/>
      <c r="K13" s="609"/>
      <c r="L13" s="609"/>
      <c r="M13" s="609"/>
      <c r="N13" s="609"/>
      <c r="O13" s="1246"/>
      <c r="R13"/>
    </row>
    <row r="14" spans="2:18" ht="27.95" customHeight="1">
      <c r="B14" s="1242"/>
      <c r="C14" s="201"/>
      <c r="D14" s="201"/>
      <c r="E14" s="201"/>
      <c r="F14" s="2570" t="s">
        <v>545</v>
      </c>
      <c r="G14" s="2570"/>
      <c r="H14" s="2570"/>
      <c r="I14" s="2570"/>
      <c r="J14" s="201"/>
      <c r="K14" s="201"/>
      <c r="L14" s="201"/>
      <c r="M14" s="201"/>
      <c r="N14" s="201"/>
      <c r="O14" s="1247"/>
      <c r="R14"/>
    </row>
    <row r="15" spans="2:18" ht="27.95" customHeight="1">
      <c r="B15" s="1242"/>
      <c r="C15" s="201"/>
      <c r="D15" s="1233" t="s">
        <v>557</v>
      </c>
      <c r="E15" s="1233" t="s">
        <v>556</v>
      </c>
      <c r="F15" s="1233" t="s">
        <v>555</v>
      </c>
      <c r="G15" s="1233" t="s">
        <v>554</v>
      </c>
      <c r="H15" s="1233" t="s">
        <v>553</v>
      </c>
      <c r="I15" s="1233" t="s">
        <v>552</v>
      </c>
      <c r="J15" s="1233" t="s">
        <v>551</v>
      </c>
      <c r="K15" s="1233" t="s">
        <v>550</v>
      </c>
      <c r="L15" s="1233" t="s">
        <v>549</v>
      </c>
      <c r="M15" s="1233" t="s">
        <v>548</v>
      </c>
      <c r="N15" s="1233" t="s">
        <v>547</v>
      </c>
      <c r="O15" s="1248"/>
      <c r="R15"/>
    </row>
    <row r="16" spans="2:18" ht="27.95" customHeight="1" thickBot="1">
      <c r="B16" s="1242"/>
      <c r="C16" s="201"/>
      <c r="D16" s="1231" t="s">
        <v>67</v>
      </c>
      <c r="E16" s="1231" t="s">
        <v>68</v>
      </c>
      <c r="F16" s="1231" t="s">
        <v>69</v>
      </c>
      <c r="G16" s="1231" t="s">
        <v>70</v>
      </c>
      <c r="H16" s="1231" t="s">
        <v>71</v>
      </c>
      <c r="I16" s="1231" t="s">
        <v>72</v>
      </c>
      <c r="J16" s="1231" t="s">
        <v>73</v>
      </c>
      <c r="K16" s="1231" t="s">
        <v>74</v>
      </c>
      <c r="L16" s="1231" t="s">
        <v>75</v>
      </c>
      <c r="M16" s="1231" t="s">
        <v>77</v>
      </c>
      <c r="N16" s="1232" t="s">
        <v>76</v>
      </c>
      <c r="O16" s="620" t="s">
        <v>82</v>
      </c>
      <c r="R16"/>
    </row>
    <row r="17" spans="2:28" ht="27.95" customHeight="1">
      <c r="B17" s="182">
        <v>600</v>
      </c>
      <c r="C17" s="204"/>
      <c r="D17" s="181">
        <v>13013</v>
      </c>
      <c r="E17" s="181">
        <v>15696.7</v>
      </c>
      <c r="F17" s="181">
        <v>18380.400000000001</v>
      </c>
      <c r="G17" s="181">
        <v>21064.100000000002</v>
      </c>
      <c r="H17" s="181">
        <v>23747.800000000003</v>
      </c>
      <c r="I17" s="181">
        <v>26431.500000000004</v>
      </c>
      <c r="J17" s="181">
        <v>27615.200000000004</v>
      </c>
      <c r="K17" s="181">
        <v>30298.900000000005</v>
      </c>
      <c r="L17" s="181">
        <v>30282.600000000006</v>
      </c>
      <c r="M17" s="181">
        <v>32966.300000000003</v>
      </c>
      <c r="N17" s="181">
        <v>35650</v>
      </c>
      <c r="O17" s="188">
        <v>35650</v>
      </c>
      <c r="R17"/>
    </row>
    <row r="18" spans="2:28" ht="27.95" customHeight="1">
      <c r="B18" s="183">
        <v>601</v>
      </c>
      <c r="C18" s="205"/>
      <c r="D18" s="181">
        <v>1000</v>
      </c>
      <c r="E18" s="181">
        <v>1586</v>
      </c>
      <c r="F18" s="181">
        <v>2172</v>
      </c>
      <c r="G18" s="181">
        <v>2758</v>
      </c>
      <c r="H18" s="181">
        <v>3344</v>
      </c>
      <c r="I18" s="181">
        <v>3930</v>
      </c>
      <c r="J18" s="181">
        <v>4016</v>
      </c>
      <c r="K18" s="181">
        <v>4602</v>
      </c>
      <c r="L18" s="181">
        <v>4888</v>
      </c>
      <c r="M18" s="181">
        <v>5774</v>
      </c>
      <c r="N18" s="189">
        <v>6130</v>
      </c>
      <c r="O18" s="188">
        <v>6130</v>
      </c>
      <c r="R18"/>
    </row>
    <row r="19" spans="2:28" ht="27.95" customHeight="1">
      <c r="B19" s="184" t="s">
        <v>81</v>
      </c>
      <c r="C19" s="205"/>
      <c r="D19" s="181">
        <v>14013</v>
      </c>
      <c r="E19" s="181">
        <v>17282.7</v>
      </c>
      <c r="F19" s="181">
        <v>20552.400000000001</v>
      </c>
      <c r="G19" s="181">
        <v>23822.100000000002</v>
      </c>
      <c r="H19" s="181">
        <v>27091.800000000003</v>
      </c>
      <c r="I19" s="181">
        <v>30361.500000000004</v>
      </c>
      <c r="J19" s="181">
        <v>31631.200000000004</v>
      </c>
      <c r="K19" s="181">
        <v>34900.9</v>
      </c>
      <c r="L19" s="181">
        <v>35470.6</v>
      </c>
      <c r="M19" s="181">
        <v>38740.299999999996</v>
      </c>
      <c r="N19" s="181">
        <v>41779.999999999993</v>
      </c>
      <c r="O19" s="188">
        <v>41779.999999999993</v>
      </c>
      <c r="R19"/>
    </row>
    <row r="20" spans="2:28" ht="27.95" customHeight="1">
      <c r="B20" s="183">
        <v>602</v>
      </c>
      <c r="C20" s="205"/>
      <c r="D20" s="181">
        <v>11518.130000000001</v>
      </c>
      <c r="E20" s="181">
        <v>12883.130000000001</v>
      </c>
      <c r="F20" s="181">
        <v>14248.130000000001</v>
      </c>
      <c r="G20" s="181">
        <v>15613.130000000001</v>
      </c>
      <c r="H20" s="181">
        <v>16978.13</v>
      </c>
      <c r="I20" s="181">
        <v>18343.13</v>
      </c>
      <c r="J20" s="181">
        <v>17008.13</v>
      </c>
      <c r="K20" s="181">
        <v>18373.13</v>
      </c>
      <c r="L20" s="181">
        <v>19738.13</v>
      </c>
      <c r="M20" s="181">
        <v>21103.13</v>
      </c>
      <c r="N20" s="181">
        <v>44337.625</v>
      </c>
      <c r="O20" s="188">
        <v>44337.625</v>
      </c>
      <c r="R20"/>
    </row>
    <row r="21" spans="2:28" ht="27.95" customHeight="1">
      <c r="B21" s="183" t="s">
        <v>79</v>
      </c>
      <c r="C21" s="205"/>
      <c r="D21" s="181">
        <v>25531.13</v>
      </c>
      <c r="E21" s="181">
        <v>30165.83</v>
      </c>
      <c r="F21" s="181">
        <v>34800.53</v>
      </c>
      <c r="G21" s="181">
        <v>39435.230000000003</v>
      </c>
      <c r="H21" s="181">
        <v>44069.930000000008</v>
      </c>
      <c r="I21" s="181">
        <v>48704.630000000005</v>
      </c>
      <c r="J21" s="181">
        <v>48639.33</v>
      </c>
      <c r="K21" s="181">
        <v>53274.03</v>
      </c>
      <c r="L21" s="181">
        <v>55208.729999999996</v>
      </c>
      <c r="M21" s="181">
        <v>59843.429999999993</v>
      </c>
      <c r="N21" s="181">
        <v>86117.625</v>
      </c>
      <c r="O21" s="1266">
        <v>86117.625</v>
      </c>
      <c r="R21"/>
    </row>
    <row r="22" spans="2:28" ht="27.95" customHeight="1">
      <c r="B22" s="174">
        <v>606</v>
      </c>
      <c r="C22" s="205"/>
      <c r="D22" s="181"/>
      <c r="E22" s="181"/>
      <c r="F22" s="181"/>
      <c r="G22" s="181">
        <v>2131.87</v>
      </c>
      <c r="H22" s="181"/>
      <c r="I22" s="181"/>
      <c r="J22" s="181"/>
      <c r="K22" s="181"/>
      <c r="L22" s="181">
        <v>0</v>
      </c>
      <c r="M22" s="181">
        <v>0</v>
      </c>
      <c r="N22" s="181">
        <v>0</v>
      </c>
      <c r="O22" s="1267">
        <v>2131.87</v>
      </c>
      <c r="R22"/>
    </row>
    <row r="23" spans="2:28" ht="27.95" customHeight="1">
      <c r="B23" s="905" t="s">
        <v>272</v>
      </c>
      <c r="C23" s="205"/>
      <c r="D23" s="181"/>
      <c r="E23" s="181"/>
      <c r="F23" s="181"/>
      <c r="G23" s="181"/>
      <c r="H23" s="181"/>
      <c r="I23" s="181"/>
      <c r="J23" s="181"/>
      <c r="K23" s="181"/>
      <c r="L23" s="181"/>
      <c r="M23" s="181"/>
      <c r="N23" s="181"/>
      <c r="O23" s="197">
        <v>0</v>
      </c>
      <c r="R23"/>
    </row>
    <row r="24" spans="2:28" ht="34.5" customHeight="1" thickBot="1">
      <c r="B24" s="1252"/>
      <c r="C24" s="1253"/>
      <c r="D24" s="1254">
        <v>25531.13</v>
      </c>
      <c r="E24" s="1254">
        <v>30165.83</v>
      </c>
      <c r="F24" s="1254">
        <v>34800.53</v>
      </c>
      <c r="G24" s="1254">
        <v>41567.100000000006</v>
      </c>
      <c r="H24" s="1254">
        <v>44069.930000000008</v>
      </c>
      <c r="I24" s="1254">
        <v>48704.630000000005</v>
      </c>
      <c r="J24" s="1254">
        <v>48639.33</v>
      </c>
      <c r="K24" s="1254">
        <v>53274.03</v>
      </c>
      <c r="L24" s="1254">
        <v>55208.729999999996</v>
      </c>
      <c r="M24" s="1254">
        <v>59843.429999999993</v>
      </c>
      <c r="N24" s="1271">
        <v>86117.625</v>
      </c>
      <c r="O24" s="1272">
        <v>88249.494999999995</v>
      </c>
      <c r="P24" s="418"/>
      <c r="Q24" s="418"/>
      <c r="R24" s="416"/>
      <c r="S24" s="416"/>
      <c r="T24" s="417"/>
      <c r="U24" s="5"/>
    </row>
    <row r="25" spans="2:28" ht="20.100000000000001" customHeight="1">
      <c r="B25" s="1242"/>
      <c r="C25" s="201"/>
      <c r="D25" s="207"/>
      <c r="E25" s="207"/>
      <c r="F25" s="207"/>
      <c r="G25" s="207"/>
      <c r="H25" s="207"/>
      <c r="I25" s="207"/>
      <c r="J25" s="207"/>
      <c r="K25" s="207"/>
      <c r="L25" s="207"/>
      <c r="M25" s="207"/>
      <c r="N25" s="207"/>
      <c r="O25" s="1247"/>
      <c r="P25" s="418"/>
      <c r="Q25" s="418"/>
      <c r="R25" s="416"/>
      <c r="S25" s="416"/>
      <c r="T25" s="416"/>
      <c r="U25" s="5"/>
    </row>
    <row r="26" spans="2:28" ht="20.100000000000001" customHeight="1" thickBot="1">
      <c r="B26" s="520"/>
      <c r="C26" s="521"/>
      <c r="D26" s="1249"/>
      <c r="E26" s="1249"/>
      <c r="F26" s="1249"/>
      <c r="G26" s="1249"/>
      <c r="H26" s="1249"/>
      <c r="I26" s="1249"/>
      <c r="J26" s="1249"/>
      <c r="K26" s="1250"/>
      <c r="L26" s="521"/>
      <c r="M26" s="521"/>
      <c r="N26" s="521"/>
      <c r="O26" s="1251"/>
      <c r="P26" s="168"/>
      <c r="Q26" s="200"/>
      <c r="R26" s="407"/>
      <c r="S26" s="407"/>
      <c r="T26" s="407"/>
      <c r="U26" s="177"/>
      <c r="V26" s="168"/>
      <c r="W26" s="168"/>
      <c r="X26" s="168"/>
      <c r="Y26" s="168"/>
      <c r="Z26" s="168"/>
      <c r="AA26" s="168"/>
      <c r="AB26" s="168"/>
    </row>
    <row r="28" spans="2:28" ht="18">
      <c r="B28" s="2561" t="s">
        <v>560</v>
      </c>
      <c r="C28" s="2561"/>
      <c r="D28" s="2561"/>
      <c r="E28" s="2561"/>
      <c r="F28" s="2561"/>
      <c r="G28" s="2561"/>
      <c r="H28" s="1289"/>
      <c r="I28" s="1290"/>
      <c r="J28" s="1289"/>
      <c r="K28" s="1289"/>
      <c r="L28" s="1289"/>
      <c r="M28" s="1289"/>
      <c r="N28" s="1289"/>
      <c r="O28" s="1289"/>
      <c r="P28" s="1289"/>
      <c r="Q28" s="1289"/>
      <c r="R28" s="1289"/>
      <c r="S28" s="1289"/>
      <c r="T28" s="1289"/>
    </row>
    <row r="29" spans="2:28" ht="12.75">
      <c r="B29" s="1291"/>
      <c r="C29" s="1289"/>
      <c r="D29" s="1289"/>
      <c r="E29" s="1289"/>
      <c r="F29" s="1289"/>
      <c r="G29" s="1292"/>
      <c r="H29" s="1289"/>
      <c r="I29" s="1290"/>
      <c r="J29" s="1289"/>
      <c r="K29" s="1289"/>
      <c r="L29" s="1289"/>
      <c r="M29" s="1289"/>
      <c r="N29" s="1289"/>
      <c r="O29" s="1289"/>
      <c r="P29" s="1289"/>
      <c r="Q29" s="1289"/>
      <c r="R29" s="1289"/>
      <c r="S29" s="1289"/>
      <c r="T29" s="1289"/>
    </row>
    <row r="30" spans="2:28">
      <c r="B30" s="2562" t="s">
        <v>561</v>
      </c>
      <c r="C30" s="2562"/>
      <c r="D30" s="2562"/>
      <c r="E30" s="2562"/>
      <c r="F30" s="2562"/>
      <c r="G30" s="2562"/>
      <c r="H30" s="2562"/>
      <c r="I30" s="2562"/>
      <c r="J30" s="2562"/>
      <c r="K30" s="2562"/>
      <c r="L30" s="2562"/>
      <c r="M30" s="2562"/>
      <c r="N30" s="2562"/>
      <c r="O30" s="2562"/>
      <c r="P30" s="2562"/>
      <c r="Q30" s="2562"/>
      <c r="R30" s="1293"/>
      <c r="S30" s="1293"/>
      <c r="T30" s="1293"/>
    </row>
    <row r="31" spans="2:28" ht="12.75">
      <c r="B31" s="1291"/>
      <c r="C31" s="1289"/>
      <c r="D31" s="1289"/>
      <c r="E31" s="1289"/>
      <c r="F31" s="1289"/>
      <c r="G31" s="1292"/>
      <c r="H31" s="1289"/>
      <c r="I31" s="1290"/>
      <c r="J31" s="1289"/>
      <c r="K31" s="1289"/>
      <c r="L31" s="1289"/>
      <c r="M31" s="1289"/>
      <c r="N31" s="1289"/>
      <c r="O31" s="1289"/>
      <c r="P31" s="1289"/>
      <c r="Q31" s="1289"/>
      <c r="R31" s="1289"/>
      <c r="S31" s="1289"/>
      <c r="T31" s="1289"/>
    </row>
    <row r="32" spans="2:28" ht="12.75">
      <c r="B32" s="1294"/>
      <c r="C32" s="1295"/>
      <c r="D32" s="1295"/>
      <c r="E32" s="1295"/>
      <c r="F32" s="1295"/>
      <c r="G32" s="1296"/>
      <c r="H32" s="2563" t="s">
        <v>562</v>
      </c>
      <c r="I32" s="2564"/>
      <c r="J32" s="2564"/>
      <c r="K32" s="2564"/>
      <c r="L32" s="2565"/>
      <c r="M32" s="1295"/>
      <c r="N32" s="1297"/>
      <c r="O32" s="1295"/>
      <c r="P32" s="1295"/>
      <c r="Q32" s="1295"/>
      <c r="R32" s="1295"/>
      <c r="S32" s="1295"/>
      <c r="T32" s="1295"/>
    </row>
    <row r="33" spans="2:20" ht="12.75">
      <c r="B33" s="1298" t="s">
        <v>563</v>
      </c>
      <c r="C33" s="1298" t="s">
        <v>3</v>
      </c>
      <c r="D33" s="1298" t="s">
        <v>564</v>
      </c>
      <c r="E33" s="1298" t="s">
        <v>5</v>
      </c>
      <c r="F33" s="1298" t="s">
        <v>565</v>
      </c>
      <c r="G33" s="1299" t="s">
        <v>6</v>
      </c>
      <c r="H33" s="1300" t="s">
        <v>566</v>
      </c>
      <c r="I33" s="1301" t="s">
        <v>567</v>
      </c>
      <c r="J33" s="1298" t="s">
        <v>568</v>
      </c>
      <c r="K33" s="1302" t="s">
        <v>569</v>
      </c>
      <c r="L33" s="1298" t="s">
        <v>570</v>
      </c>
      <c r="M33" s="1298">
        <v>604</v>
      </c>
      <c r="N33" s="1298" t="s">
        <v>571</v>
      </c>
      <c r="O33" s="1298" t="s">
        <v>572</v>
      </c>
      <c r="P33" s="1298" t="s">
        <v>573</v>
      </c>
      <c r="Q33" s="1298" t="s">
        <v>574</v>
      </c>
      <c r="R33" s="1298" t="s">
        <v>575</v>
      </c>
      <c r="S33" s="2560" t="s">
        <v>576</v>
      </c>
      <c r="T33" s="2560"/>
    </row>
    <row r="34" spans="2:20" ht="12.75">
      <c r="B34" s="1298"/>
      <c r="C34" s="1298"/>
      <c r="D34" s="1298"/>
      <c r="E34" s="1298"/>
      <c r="F34" s="1298"/>
      <c r="G34" s="1299"/>
      <c r="H34" s="1298" t="s">
        <v>410</v>
      </c>
      <c r="I34" s="1303" t="s">
        <v>410</v>
      </c>
      <c r="J34" s="1298"/>
      <c r="K34" s="1298"/>
      <c r="L34" s="1298"/>
      <c r="M34" s="1298"/>
      <c r="N34" s="1298" t="s">
        <v>577</v>
      </c>
      <c r="O34" s="1298" t="s">
        <v>578</v>
      </c>
      <c r="P34" s="1298" t="s">
        <v>579</v>
      </c>
      <c r="Q34" s="1298" t="s">
        <v>580</v>
      </c>
      <c r="R34" s="1298" t="s">
        <v>581</v>
      </c>
      <c r="S34" s="1298" t="s">
        <v>582</v>
      </c>
      <c r="T34" s="1298" t="s">
        <v>583</v>
      </c>
    </row>
    <row r="35" spans="2:20" ht="12.75">
      <c r="B35" s="1304">
        <v>1025097</v>
      </c>
      <c r="C35" s="1305">
        <v>16</v>
      </c>
      <c r="D35" s="1305">
        <v>10430</v>
      </c>
      <c r="E35" s="1295">
        <v>1</v>
      </c>
      <c r="F35" s="1295"/>
      <c r="G35" s="1296">
        <v>230</v>
      </c>
      <c r="H35" s="1295"/>
      <c r="I35" s="1306"/>
      <c r="J35" s="1297">
        <v>0</v>
      </c>
      <c r="K35" s="1295"/>
      <c r="L35" s="1307"/>
      <c r="M35" s="1307"/>
      <c r="N35" s="1295"/>
      <c r="O35" s="1295"/>
      <c r="P35" s="1295"/>
      <c r="Q35" s="1295"/>
      <c r="R35" s="1295"/>
      <c r="S35" s="1295">
        <v>46</v>
      </c>
      <c r="T35" s="1295">
        <v>47</v>
      </c>
    </row>
    <row r="36" spans="2:20" ht="12.75">
      <c r="B36" s="1304">
        <v>1025097</v>
      </c>
      <c r="C36" s="1305">
        <v>16</v>
      </c>
      <c r="D36" s="1305">
        <v>10430</v>
      </c>
      <c r="E36" s="1295">
        <v>1</v>
      </c>
      <c r="F36" s="1295"/>
      <c r="G36" s="1296">
        <v>231</v>
      </c>
      <c r="H36" s="1295"/>
      <c r="I36" s="1306"/>
      <c r="J36" s="1295"/>
      <c r="K36" s="1295"/>
      <c r="L36" s="1295" t="s">
        <v>584</v>
      </c>
      <c r="M36" s="1307"/>
      <c r="N36" s="1295"/>
      <c r="O36" s="1295"/>
      <c r="P36" s="1295"/>
      <c r="Q36" s="1295"/>
      <c r="R36" s="1295"/>
      <c r="S36" s="1295"/>
      <c r="T36" s="1295"/>
    </row>
    <row r="37" spans="2:20" ht="12.75">
      <c r="B37" s="1304">
        <v>1025097</v>
      </c>
      <c r="C37" s="1305">
        <v>16</v>
      </c>
      <c r="D37" s="1305">
        <v>10430</v>
      </c>
      <c r="E37" s="1295">
        <v>1</v>
      </c>
      <c r="F37" s="1295"/>
      <c r="G37" s="1308">
        <v>2319999</v>
      </c>
      <c r="H37" s="1295"/>
      <c r="I37" s="1306"/>
      <c r="J37" s="1297"/>
      <c r="K37" s="1295"/>
      <c r="L37" s="1307"/>
      <c r="M37" s="1307"/>
      <c r="N37" s="1295"/>
      <c r="O37" s="1295"/>
      <c r="P37" s="1295"/>
      <c r="Q37" s="1295"/>
      <c r="R37" s="1295"/>
      <c r="S37" s="1295"/>
      <c r="T37" s="1295"/>
    </row>
    <row r="38" spans="2:20" ht="12.75">
      <c r="B38" s="1304">
        <v>1025097</v>
      </c>
      <c r="C38" s="1305">
        <v>16</v>
      </c>
      <c r="D38" s="1305">
        <v>10430</v>
      </c>
      <c r="E38" s="1295">
        <v>1</v>
      </c>
      <c r="F38" s="1295"/>
      <c r="G38" s="1296">
        <v>600</v>
      </c>
      <c r="H38" s="1295">
        <v>39850</v>
      </c>
      <c r="I38" s="1306">
        <v>32983</v>
      </c>
      <c r="J38" s="1295">
        <f>26991527+669616+1642157+13263+312181+198262+686313+1673178+13613+190588+318330+588610+1795529+11088+320268+204420+3</f>
        <v>35628946</v>
      </c>
      <c r="K38" s="1295"/>
      <c r="L38" s="1307"/>
      <c r="M38" s="1307"/>
      <c r="N38" s="1295">
        <f>4868152+312181+198262+190588+318330+320268+204420</f>
        <v>6412201</v>
      </c>
      <c r="O38" s="1295"/>
      <c r="P38" s="1295"/>
      <c r="Q38" s="1295">
        <f>J38-N38</f>
        <v>29216745</v>
      </c>
      <c r="R38" s="1295"/>
      <c r="S38" s="1295"/>
      <c r="T38" s="1295"/>
    </row>
    <row r="39" spans="2:20" ht="12.75">
      <c r="B39" s="1304">
        <v>1025097</v>
      </c>
      <c r="C39" s="1305">
        <v>16</v>
      </c>
      <c r="D39" s="1305">
        <v>10430</v>
      </c>
      <c r="E39" s="1295">
        <v>1</v>
      </c>
      <c r="F39" s="1295"/>
      <c r="G39" s="1296">
        <v>601</v>
      </c>
      <c r="H39" s="1295">
        <v>6860</v>
      </c>
      <c r="I39" s="1306">
        <v>5190</v>
      </c>
      <c r="J39" s="1295">
        <f>5264355+477542-1</f>
        <v>5741896</v>
      </c>
      <c r="K39" s="1295"/>
      <c r="L39" s="1309"/>
      <c r="M39" s="1309"/>
      <c r="N39" s="1295">
        <f>534031+426807+473331+475517+490259+509482+458069+486051+470671+465484+474653+477542</f>
        <v>5741897</v>
      </c>
      <c r="O39" s="1295"/>
      <c r="P39" s="1295"/>
      <c r="Q39" s="1295">
        <v>0</v>
      </c>
      <c r="R39" s="1295"/>
      <c r="S39" s="1295"/>
      <c r="T39" s="1295"/>
    </row>
    <row r="40" spans="2:20" ht="12.75">
      <c r="B40" s="1310"/>
      <c r="C40" s="1311">
        <v>16</v>
      </c>
      <c r="D40" s="1311">
        <v>10430</v>
      </c>
      <c r="E40" s="1312">
        <v>1</v>
      </c>
      <c r="F40" s="1312"/>
      <c r="G40" s="1313">
        <v>6009999</v>
      </c>
      <c r="H40" s="1314">
        <f>SUM(H38:H39)</f>
        <v>46710</v>
      </c>
      <c r="I40" s="1315">
        <f>SUM(I38:I39)</f>
        <v>38173</v>
      </c>
      <c r="J40" s="1316">
        <f>SUM(J38:J39)</f>
        <v>41370842</v>
      </c>
      <c r="K40" s="1312"/>
      <c r="L40" s="1317"/>
      <c r="M40" s="1317"/>
      <c r="N40" s="1312">
        <f>SUM(N38:N39)</f>
        <v>12154098</v>
      </c>
      <c r="O40" s="1312"/>
      <c r="P40" s="1312"/>
      <c r="Q40" s="1312">
        <f>J40-N40</f>
        <v>29216744</v>
      </c>
      <c r="R40" s="1312"/>
      <c r="S40" s="1312"/>
      <c r="T40" s="1312"/>
    </row>
    <row r="41" spans="2:20" ht="12.75">
      <c r="B41" s="1304">
        <v>1025097</v>
      </c>
      <c r="C41" s="1305">
        <v>16</v>
      </c>
      <c r="D41" s="1305">
        <v>10430</v>
      </c>
      <c r="E41" s="1295">
        <v>1</v>
      </c>
      <c r="F41" s="1295"/>
      <c r="G41" s="1308">
        <v>602</v>
      </c>
      <c r="H41" s="1295">
        <f>27300-2131.8</f>
        <v>25168.2</v>
      </c>
      <c r="I41" s="1306">
        <v>19738</v>
      </c>
      <c r="J41" s="1295">
        <v>44152574</v>
      </c>
      <c r="K41" s="1295"/>
      <c r="L41" s="1307"/>
      <c r="M41" s="1307"/>
      <c r="N41" s="1295"/>
      <c r="O41" s="1295">
        <v>3000</v>
      </c>
      <c r="P41" s="1295">
        <v>3073157</v>
      </c>
      <c r="Q41" s="1295">
        <f>J41-N41-O41-P41</f>
        <v>41076417</v>
      </c>
      <c r="R41" s="1295"/>
      <c r="S41" s="1295"/>
      <c r="T41" s="1295"/>
    </row>
    <row r="42" spans="2:20" ht="12.75">
      <c r="B42" s="1304">
        <v>1025097</v>
      </c>
      <c r="C42" s="1305">
        <v>16</v>
      </c>
      <c r="D42" s="1305">
        <v>10430</v>
      </c>
      <c r="E42" s="1295">
        <v>1</v>
      </c>
      <c r="F42" s="1295"/>
      <c r="G42" s="1296">
        <v>603</v>
      </c>
      <c r="H42" s="1295"/>
      <c r="I42" s="1306"/>
      <c r="J42" s="1297"/>
      <c r="K42" s="1295"/>
      <c r="L42" s="1307"/>
      <c r="M42" s="1307"/>
      <c r="N42" s="1295"/>
      <c r="O42" s="1295"/>
      <c r="P42" s="1295"/>
      <c r="Q42" s="1295">
        <f>J42+K42-L42-M42+N42</f>
        <v>0</v>
      </c>
      <c r="R42" s="1295"/>
      <c r="S42" s="1295"/>
      <c r="T42" s="1295"/>
    </row>
    <row r="43" spans="2:20" ht="12.75">
      <c r="B43" s="1304">
        <v>1025097</v>
      </c>
      <c r="C43" s="1305">
        <v>16</v>
      </c>
      <c r="D43" s="1305">
        <v>10430</v>
      </c>
      <c r="E43" s="1295">
        <v>1</v>
      </c>
      <c r="F43" s="1295"/>
      <c r="G43" s="1318">
        <v>604</v>
      </c>
      <c r="H43" s="1295"/>
      <c r="I43" s="1306"/>
      <c r="J43" s="1297"/>
      <c r="K43" s="1295"/>
      <c r="L43" s="1307"/>
      <c r="M43" s="1307"/>
      <c r="N43" s="1295"/>
      <c r="O43" s="1295"/>
      <c r="P43" s="1295"/>
      <c r="Q43" s="1295">
        <f>J43+K43-L43-M43+N43</f>
        <v>0</v>
      </c>
      <c r="R43" s="1295"/>
      <c r="S43" s="1295"/>
      <c r="T43" s="1295"/>
    </row>
    <row r="44" spans="2:20" ht="12.75">
      <c r="B44" s="1304">
        <v>1025097</v>
      </c>
      <c r="C44" s="1305">
        <v>16</v>
      </c>
      <c r="D44" s="1305">
        <v>10430</v>
      </c>
      <c r="E44" s="1295">
        <v>1</v>
      </c>
      <c r="F44" s="1295"/>
      <c r="G44" s="1318">
        <v>605</v>
      </c>
      <c r="H44" s="1295"/>
      <c r="I44" s="1306"/>
      <c r="J44" s="1297"/>
      <c r="K44" s="1295"/>
      <c r="L44" s="1307"/>
      <c r="M44" s="1307"/>
      <c r="N44" s="1295"/>
      <c r="O44" s="1295"/>
      <c r="P44" s="1295"/>
      <c r="Q44" s="1295">
        <f>J44+K44-L44-M44+N44</f>
        <v>0</v>
      </c>
      <c r="R44" s="1295"/>
      <c r="S44" s="1295"/>
      <c r="T44" s="1295"/>
    </row>
    <row r="45" spans="2:20" ht="12.75">
      <c r="B45" s="1304">
        <v>1025097</v>
      </c>
      <c r="C45" s="1305">
        <v>16</v>
      </c>
      <c r="D45" s="1305">
        <v>10430</v>
      </c>
      <c r="E45" s="1295">
        <v>1</v>
      </c>
      <c r="F45" s="1295"/>
      <c r="G45" s="1296">
        <v>606</v>
      </c>
      <c r="H45" s="1295">
        <v>2131.8000000000002</v>
      </c>
      <c r="I45" s="1306">
        <v>2132</v>
      </c>
      <c r="J45" s="1295">
        <f>2092368+35552+3950</f>
        <v>2131870</v>
      </c>
      <c r="K45" s="1295"/>
      <c r="L45" s="1307"/>
      <c r="M45" s="1307"/>
      <c r="N45" s="1295"/>
      <c r="O45" s="1295"/>
      <c r="P45" s="1295"/>
      <c r="Q45" s="1295">
        <f>J45+K45-L45-M45+N45</f>
        <v>2131870</v>
      </c>
      <c r="R45" s="1295"/>
      <c r="S45" s="1295"/>
      <c r="T45" s="1295"/>
    </row>
    <row r="46" spans="2:20" ht="12.75">
      <c r="B46" s="1310"/>
      <c r="C46" s="1311">
        <v>16</v>
      </c>
      <c r="D46" s="1311">
        <v>10430</v>
      </c>
      <c r="E46" s="1312">
        <v>1</v>
      </c>
      <c r="F46" s="1312"/>
      <c r="G46" s="1313">
        <v>6029999</v>
      </c>
      <c r="H46" s="1316">
        <f>SUM(H41:H45)</f>
        <v>27300</v>
      </c>
      <c r="I46" s="1319">
        <f>SUM(I41:I45)</f>
        <v>21870</v>
      </c>
      <c r="J46" s="1316">
        <f>SUM(J41:J45)</f>
        <v>46284444</v>
      </c>
      <c r="K46" s="1316">
        <f>SUM(K41:K45)</f>
        <v>0</v>
      </c>
      <c r="L46" s="1316">
        <v>0</v>
      </c>
      <c r="M46" s="1316">
        <f>SUM(M41:M45)</f>
        <v>0</v>
      </c>
      <c r="N46" s="1316">
        <f>SUM(N41:N45)</f>
        <v>0</v>
      </c>
      <c r="O46" s="1316">
        <f>SUM(O41:O45)</f>
        <v>3000</v>
      </c>
      <c r="P46" s="1316">
        <f>SUM(P41:P45)</f>
        <v>3073157</v>
      </c>
      <c r="Q46" s="1316">
        <f>SUM(Q41:Q45)</f>
        <v>43208287</v>
      </c>
      <c r="R46" s="1312"/>
      <c r="S46" s="1312"/>
      <c r="T46" s="1312"/>
    </row>
    <row r="47" spans="2:20" ht="12.75">
      <c r="B47" s="1304">
        <v>1025097</v>
      </c>
      <c r="C47" s="1305">
        <v>16</v>
      </c>
      <c r="D47" s="1305">
        <v>10430</v>
      </c>
      <c r="E47" s="1295">
        <v>6</v>
      </c>
      <c r="F47" s="1295"/>
      <c r="G47" s="1296">
        <v>600</v>
      </c>
      <c r="H47" s="1295">
        <v>2250242</v>
      </c>
      <c r="I47" s="1306">
        <f>H47</f>
        <v>2250242</v>
      </c>
      <c r="J47" s="1295">
        <f>2035693+127497+8160+82833+5715+2790-5</f>
        <v>2262683</v>
      </c>
      <c r="K47" s="1295"/>
      <c r="L47" s="1309"/>
      <c r="M47" s="1309"/>
      <c r="N47" s="1295">
        <f>375907+8160+2790</f>
        <v>386857</v>
      </c>
      <c r="O47" s="1295"/>
      <c r="P47" s="1295"/>
      <c r="Q47" s="1295">
        <f>J47-N47</f>
        <v>1875826</v>
      </c>
      <c r="R47" s="1295"/>
      <c r="S47" s="1295"/>
      <c r="T47" s="1295"/>
    </row>
    <row r="48" spans="2:20" ht="12.75">
      <c r="B48" s="1304">
        <v>1025097</v>
      </c>
      <c r="C48" s="1305">
        <v>16</v>
      </c>
      <c r="D48" s="1305">
        <v>10430</v>
      </c>
      <c r="E48" s="1295">
        <v>6</v>
      </c>
      <c r="F48" s="1295"/>
      <c r="G48" s="1296">
        <v>601</v>
      </c>
      <c r="H48" s="1295">
        <v>364899</v>
      </c>
      <c r="I48" s="1306">
        <f>H48</f>
        <v>364899</v>
      </c>
      <c r="J48" s="1295">
        <f>N48</f>
        <v>326106</v>
      </c>
      <c r="K48" s="1295"/>
      <c r="L48" s="1309"/>
      <c r="M48" s="1309"/>
      <c r="N48" s="1295">
        <f>189474+25512+8594+25512+12878+42622+21514</f>
        <v>326106</v>
      </c>
      <c r="O48" s="1295"/>
      <c r="P48" s="1295"/>
      <c r="Q48" s="1295">
        <v>0</v>
      </c>
      <c r="R48" s="1295"/>
      <c r="S48" s="1295"/>
      <c r="T48" s="1295"/>
    </row>
    <row r="49" spans="2:20" ht="12.75">
      <c r="B49" s="1304">
        <v>1025097</v>
      </c>
      <c r="C49" s="1305">
        <v>16</v>
      </c>
      <c r="D49" s="1305">
        <v>10430</v>
      </c>
      <c r="E49" s="1295">
        <v>6</v>
      </c>
      <c r="F49" s="1295"/>
      <c r="G49" s="1296">
        <v>602</v>
      </c>
      <c r="H49" s="1295">
        <v>218200</v>
      </c>
      <c r="I49" s="1306">
        <v>218200</v>
      </c>
      <c r="J49" s="1295">
        <f>158555+16530+9000+5136+1500</f>
        <v>190721</v>
      </c>
      <c r="K49" s="1295"/>
      <c r="L49" s="1309"/>
      <c r="M49" s="1309"/>
      <c r="N49" s="1295">
        <v>0</v>
      </c>
      <c r="O49" s="1295"/>
      <c r="P49" s="1295"/>
      <c r="Q49" s="1295">
        <f>J49+K49-L49-M49+N49</f>
        <v>190721</v>
      </c>
      <c r="R49" s="1295"/>
      <c r="S49" s="1295"/>
      <c r="T49" s="1295"/>
    </row>
    <row r="50" spans="2:20" ht="12.75">
      <c r="B50" s="1304"/>
      <c r="C50" s="1305"/>
      <c r="D50" s="1305"/>
      <c r="E50" s="1295"/>
      <c r="F50" s="1295"/>
      <c r="G50" s="1296"/>
      <c r="H50" s="1295"/>
      <c r="I50" s="1306"/>
      <c r="J50" s="1312"/>
      <c r="K50" s="1295"/>
      <c r="L50" s="1309"/>
      <c r="M50" s="1309"/>
      <c r="N50" s="1295">
        <f>SUM(N47:N49)</f>
        <v>712963</v>
      </c>
      <c r="O50" s="1295"/>
      <c r="P50" s="1295"/>
      <c r="Q50" s="1295">
        <f>J50+K50-L50-M50+N50</f>
        <v>712963</v>
      </c>
      <c r="R50" s="1295"/>
      <c r="S50" s="1295"/>
      <c r="T50" s="1295"/>
    </row>
    <row r="51" spans="2:20" ht="12.75">
      <c r="B51" s="1320"/>
      <c r="C51" s="1320"/>
      <c r="D51" s="1320"/>
      <c r="E51" s="1320"/>
      <c r="F51" s="1320"/>
      <c r="G51" s="1321" t="s">
        <v>82</v>
      </c>
      <c r="H51" s="1322"/>
      <c r="I51" s="1323"/>
      <c r="J51" s="1322">
        <f>J40+J46+J47+J48+J49</f>
        <v>90434796</v>
      </c>
      <c r="K51" s="1322">
        <f>SUM(K35:K49)</f>
        <v>0</v>
      </c>
      <c r="L51" s="1322">
        <v>0</v>
      </c>
      <c r="M51" s="1322">
        <f>SUM(M35:M49)</f>
        <v>0</v>
      </c>
      <c r="N51" s="1322">
        <f>N40+N47+N48</f>
        <v>12867061</v>
      </c>
      <c r="O51" s="1322">
        <f>O46</f>
        <v>3000</v>
      </c>
      <c r="P51" s="1324">
        <f>SUM(P46:P50)</f>
        <v>3073157</v>
      </c>
      <c r="Q51" s="1322">
        <f>Q40+Q46+Q47+Q48+Q49</f>
        <v>74491578</v>
      </c>
      <c r="R51" s="1322"/>
      <c r="S51" s="1322"/>
      <c r="T51" s="1322"/>
    </row>
    <row r="54" spans="2:20" ht="18">
      <c r="B54" s="2561" t="s">
        <v>560</v>
      </c>
      <c r="C54" s="2561"/>
      <c r="D54" s="2561"/>
      <c r="E54" s="2561"/>
      <c r="F54" s="2561"/>
      <c r="G54" s="2561"/>
      <c r="H54" s="1289"/>
      <c r="I54" s="1290"/>
      <c r="J54" s="1289"/>
      <c r="K54" s="1289"/>
      <c r="L54" s="1289"/>
      <c r="M54" s="1289"/>
      <c r="N54" s="1289"/>
      <c r="O54" s="1289"/>
      <c r="P54" s="1289"/>
      <c r="Q54" s="1289"/>
      <c r="R54" s="1289"/>
      <c r="S54" s="1289"/>
      <c r="T54" s="1289"/>
    </row>
    <row r="55" spans="2:20" ht="12.75">
      <c r="B55" s="1291"/>
      <c r="C55" s="1289"/>
      <c r="D55" s="1289"/>
      <c r="E55" s="1289"/>
      <c r="F55" s="1289"/>
      <c r="G55" s="1292"/>
      <c r="H55" s="1289"/>
      <c r="I55" s="1290"/>
      <c r="J55" s="1289"/>
      <c r="K55" s="1289"/>
      <c r="L55" s="1289"/>
      <c r="M55" s="1289"/>
      <c r="N55" s="1289"/>
      <c r="O55" s="1289"/>
      <c r="P55" s="1289"/>
      <c r="Q55" s="1289"/>
      <c r="R55" s="1289"/>
      <c r="S55" s="1289"/>
      <c r="T55" s="1289"/>
    </row>
    <row r="56" spans="2:20">
      <c r="B56" s="2562" t="s">
        <v>561</v>
      </c>
      <c r="C56" s="2562"/>
      <c r="D56" s="2562"/>
      <c r="E56" s="2562"/>
      <c r="F56" s="2562"/>
      <c r="G56" s="2562"/>
      <c r="H56" s="2562"/>
      <c r="I56" s="2562"/>
      <c r="J56" s="2562"/>
      <c r="K56" s="2562"/>
      <c r="L56" s="2562"/>
      <c r="M56" s="2562"/>
      <c r="N56" s="2562"/>
      <c r="O56" s="2562"/>
      <c r="P56" s="2562"/>
      <c r="Q56" s="2562"/>
      <c r="R56" s="1293"/>
      <c r="S56" s="1293"/>
      <c r="T56" s="1293"/>
    </row>
    <row r="57" spans="2:20" ht="12.75">
      <c r="B57" s="1291"/>
      <c r="C57" s="1289"/>
      <c r="D57" s="1289"/>
      <c r="E57" s="1289"/>
      <c r="F57" s="1289"/>
      <c r="G57" s="1292"/>
      <c r="H57" s="1289"/>
      <c r="I57" s="1290"/>
      <c r="J57" s="1289"/>
      <c r="K57" s="1289"/>
      <c r="L57" s="1289"/>
      <c r="M57" s="1289"/>
      <c r="N57" s="1289"/>
      <c r="O57" s="1289"/>
      <c r="P57" s="1289"/>
      <c r="Q57" s="1289"/>
      <c r="R57" s="1289"/>
      <c r="S57" s="1289"/>
      <c r="T57" s="1289"/>
    </row>
    <row r="58" spans="2:20" ht="12.75">
      <c r="B58" s="1294"/>
      <c r="C58" s="1295"/>
      <c r="D58" s="1295"/>
      <c r="E58" s="1295"/>
      <c r="F58" s="1295"/>
      <c r="G58" s="1296"/>
      <c r="H58" s="2563" t="s">
        <v>562</v>
      </c>
      <c r="I58" s="2564"/>
      <c r="J58" s="2564"/>
      <c r="K58" s="2564"/>
      <c r="L58" s="2565"/>
      <c r="M58" s="1295"/>
      <c r="N58" s="1297"/>
      <c r="O58" s="1295"/>
      <c r="P58" s="1295"/>
      <c r="Q58" s="1295"/>
      <c r="R58" s="1295"/>
      <c r="S58" s="1295"/>
      <c r="T58" s="1295"/>
    </row>
    <row r="59" spans="2:20" ht="12.75">
      <c r="B59" s="1298" t="s">
        <v>563</v>
      </c>
      <c r="C59" s="1298" t="s">
        <v>3</v>
      </c>
      <c r="D59" s="1298" t="s">
        <v>564</v>
      </c>
      <c r="E59" s="1298" t="s">
        <v>5</v>
      </c>
      <c r="F59" s="1298" t="s">
        <v>565</v>
      </c>
      <c r="G59" s="1299" t="s">
        <v>6</v>
      </c>
      <c r="H59" s="1300" t="s">
        <v>566</v>
      </c>
      <c r="I59" s="1301" t="s">
        <v>567</v>
      </c>
      <c r="J59" s="1298" t="s">
        <v>568</v>
      </c>
      <c r="K59" s="1302" t="s">
        <v>569</v>
      </c>
      <c r="L59" s="1298" t="s">
        <v>570</v>
      </c>
      <c r="M59" s="1298">
        <v>604</v>
      </c>
      <c r="N59" s="1298" t="s">
        <v>571</v>
      </c>
      <c r="O59" s="1298" t="s">
        <v>572</v>
      </c>
      <c r="P59" s="1298" t="s">
        <v>573</v>
      </c>
      <c r="Q59" s="1298" t="s">
        <v>574</v>
      </c>
      <c r="R59" s="1298" t="s">
        <v>575</v>
      </c>
      <c r="S59" s="2560" t="s">
        <v>576</v>
      </c>
      <c r="T59" s="2560"/>
    </row>
    <row r="60" spans="2:20" ht="12.75">
      <c r="B60" s="1298"/>
      <c r="C60" s="1298"/>
      <c r="D60" s="1298"/>
      <c r="E60" s="1298"/>
      <c r="F60" s="1298"/>
      <c r="G60" s="1299"/>
      <c r="H60" s="1298" t="s">
        <v>410</v>
      </c>
      <c r="I60" s="1303" t="s">
        <v>410</v>
      </c>
      <c r="J60" s="1298"/>
      <c r="K60" s="1298"/>
      <c r="L60" s="1298"/>
      <c r="M60" s="1298"/>
      <c r="N60" s="1298" t="s">
        <v>577</v>
      </c>
      <c r="O60" s="1298" t="s">
        <v>578</v>
      </c>
      <c r="P60" s="1298" t="s">
        <v>579</v>
      </c>
      <c r="Q60" s="1298" t="s">
        <v>580</v>
      </c>
      <c r="R60" s="1298" t="s">
        <v>581</v>
      </c>
      <c r="S60" s="1298" t="s">
        <v>582</v>
      </c>
      <c r="T60" s="1298" t="s">
        <v>583</v>
      </c>
    </row>
    <row r="61" spans="2:20" ht="12.75">
      <c r="B61" s="1304">
        <v>1025097</v>
      </c>
      <c r="C61" s="1305">
        <v>16</v>
      </c>
      <c r="D61" s="1305">
        <v>10430</v>
      </c>
      <c r="E61" s="1295">
        <v>1</v>
      </c>
      <c r="F61" s="1295"/>
      <c r="G61" s="1296">
        <v>230</v>
      </c>
      <c r="H61" s="1295"/>
      <c r="I61" s="1306"/>
      <c r="J61" s="1297">
        <v>0</v>
      </c>
      <c r="K61" s="1295"/>
      <c r="L61" s="1307"/>
      <c r="M61" s="1307"/>
      <c r="N61" s="1295"/>
      <c r="O61" s="1295"/>
      <c r="P61" s="1295"/>
      <c r="Q61" s="1295"/>
      <c r="R61" s="1295"/>
      <c r="S61" s="1295">
        <v>46</v>
      </c>
      <c r="T61" s="1295">
        <v>47</v>
      </c>
    </row>
    <row r="62" spans="2:20" ht="12.75">
      <c r="B62" s="1304">
        <v>1025097</v>
      </c>
      <c r="C62" s="1305">
        <v>16</v>
      </c>
      <c r="D62" s="1305">
        <v>10430</v>
      </c>
      <c r="E62" s="1295">
        <v>1</v>
      </c>
      <c r="F62" s="1295"/>
      <c r="G62" s="1296">
        <v>231</v>
      </c>
      <c r="H62" s="1295"/>
      <c r="I62" s="1306"/>
      <c r="J62" s="1295"/>
      <c r="K62" s="1295"/>
      <c r="L62" s="1295" t="s">
        <v>584</v>
      </c>
      <c r="M62" s="1307"/>
      <c r="N62" s="1295"/>
      <c r="O62" s="1295"/>
      <c r="P62" s="1295"/>
      <c r="Q62" s="1295"/>
      <c r="R62" s="1295"/>
      <c r="S62" s="1295"/>
      <c r="T62" s="1295"/>
    </row>
    <row r="63" spans="2:20" ht="12.75">
      <c r="B63" s="1304">
        <v>1025097</v>
      </c>
      <c r="C63" s="1305">
        <v>16</v>
      </c>
      <c r="D63" s="1305">
        <v>10430</v>
      </c>
      <c r="E63" s="1295">
        <v>1</v>
      </c>
      <c r="F63" s="1295"/>
      <c r="G63" s="1308">
        <v>2319999</v>
      </c>
      <c r="H63" s="1295"/>
      <c r="I63" s="1306"/>
      <c r="J63" s="1297"/>
      <c r="K63" s="1295"/>
      <c r="L63" s="1307"/>
      <c r="M63" s="1307"/>
      <c r="N63" s="1295"/>
      <c r="O63" s="1295"/>
      <c r="P63" s="1295"/>
      <c r="Q63" s="1295"/>
      <c r="R63" s="1295"/>
      <c r="S63" s="1295"/>
      <c r="T63" s="1295"/>
    </row>
    <row r="64" spans="2:20" ht="12.75">
      <c r="B64" s="1304">
        <v>1025097</v>
      </c>
      <c r="C64" s="1305">
        <v>16</v>
      </c>
      <c r="D64" s="1305">
        <v>10430</v>
      </c>
      <c r="E64" s="1295">
        <v>1</v>
      </c>
      <c r="F64" s="1295"/>
      <c r="G64" s="1296">
        <v>600</v>
      </c>
      <c r="H64" s="1295">
        <v>39850</v>
      </c>
      <c r="I64" s="1306">
        <v>32983</v>
      </c>
      <c r="J64" s="1295">
        <f>26991527+669616+1642157+13263+312181+198262+686313+1673178+13613+190588+318330+588610+1795529+11088+320268+204420+3</f>
        <v>35628946</v>
      </c>
      <c r="K64" s="1295"/>
      <c r="L64" s="1307"/>
      <c r="M64" s="1307"/>
      <c r="N64" s="1295">
        <f>4868152+312181+198262+190588+318330+320268+204420</f>
        <v>6412201</v>
      </c>
      <c r="O64" s="1295"/>
      <c r="P64" s="1295"/>
      <c r="Q64" s="1295">
        <f>J64-N64</f>
        <v>29216745</v>
      </c>
      <c r="R64" s="1295"/>
      <c r="S64" s="1295"/>
      <c r="T64" s="1295"/>
    </row>
    <row r="65" spans="2:20" ht="12.75">
      <c r="B65" s="1304">
        <v>1025097</v>
      </c>
      <c r="C65" s="1305">
        <v>16</v>
      </c>
      <c r="D65" s="1305">
        <v>10430</v>
      </c>
      <c r="E65" s="1295">
        <v>1</v>
      </c>
      <c r="F65" s="1295"/>
      <c r="G65" s="1296">
        <v>601</v>
      </c>
      <c r="H65" s="1295">
        <v>6860</v>
      </c>
      <c r="I65" s="1306">
        <v>5190</v>
      </c>
      <c r="J65" s="1295">
        <f>5264355+477542-1</f>
        <v>5741896</v>
      </c>
      <c r="K65" s="1295"/>
      <c r="L65" s="1309"/>
      <c r="M65" s="1309"/>
      <c r="N65" s="1295">
        <f>534031+426807+473331+475517+490259+509482+458069+486051+470671+465484+474653+477542</f>
        <v>5741897</v>
      </c>
      <c r="O65" s="1295"/>
      <c r="P65" s="1295"/>
      <c r="Q65" s="1295">
        <v>0</v>
      </c>
      <c r="R65" s="1295"/>
      <c r="S65" s="1295"/>
      <c r="T65" s="1295"/>
    </row>
    <row r="66" spans="2:20" ht="12.75">
      <c r="B66" s="1310"/>
      <c r="C66" s="1311">
        <v>16</v>
      </c>
      <c r="D66" s="1311">
        <v>10430</v>
      </c>
      <c r="E66" s="1312">
        <v>1</v>
      </c>
      <c r="F66" s="1312"/>
      <c r="G66" s="1313">
        <v>6009999</v>
      </c>
      <c r="H66" s="1314">
        <f>SUM(H64:H65)</f>
        <v>46710</v>
      </c>
      <c r="I66" s="1315">
        <f>SUM(I64:I65)</f>
        <v>38173</v>
      </c>
      <c r="J66" s="1316">
        <f>SUM(J64:J65)</f>
        <v>41370842</v>
      </c>
      <c r="K66" s="1312"/>
      <c r="L66" s="1317"/>
      <c r="M66" s="1317"/>
      <c r="N66" s="1312">
        <f>SUM(N64:N65)</f>
        <v>12154098</v>
      </c>
      <c r="O66" s="1312"/>
      <c r="P66" s="1312"/>
      <c r="Q66" s="1312">
        <f>J66-N66</f>
        <v>29216744</v>
      </c>
      <c r="R66" s="1312"/>
      <c r="S66" s="1312"/>
      <c r="T66" s="1312"/>
    </row>
    <row r="67" spans="2:20" ht="12.75">
      <c r="B67" s="1304">
        <v>1025097</v>
      </c>
      <c r="C67" s="1305">
        <v>16</v>
      </c>
      <c r="D67" s="1305">
        <v>10430</v>
      </c>
      <c r="E67" s="1295">
        <v>1</v>
      </c>
      <c r="F67" s="1295"/>
      <c r="G67" s="1308">
        <v>602</v>
      </c>
      <c r="H67" s="1295">
        <f>27300-2131.8</f>
        <v>25168.2</v>
      </c>
      <c r="I67" s="1306">
        <v>19738</v>
      </c>
      <c r="J67" s="1295">
        <v>44152574</v>
      </c>
      <c r="K67" s="1295"/>
      <c r="L67" s="1307"/>
      <c r="M67" s="1307"/>
      <c r="N67" s="1295"/>
      <c r="O67" s="1295">
        <v>3000</v>
      </c>
      <c r="P67" s="1295">
        <v>3073157</v>
      </c>
      <c r="Q67" s="1295">
        <f>J67-N67-O67-P67</f>
        <v>41076417</v>
      </c>
      <c r="R67" s="1295"/>
      <c r="S67" s="1295"/>
      <c r="T67" s="1295"/>
    </row>
    <row r="68" spans="2:20" ht="12.75">
      <c r="B68" s="1304">
        <v>1025097</v>
      </c>
      <c r="C68" s="1305">
        <v>16</v>
      </c>
      <c r="D68" s="1305">
        <v>10430</v>
      </c>
      <c r="E68" s="1295">
        <v>1</v>
      </c>
      <c r="F68" s="1295"/>
      <c r="G68" s="1296">
        <v>603</v>
      </c>
      <c r="H68" s="1295"/>
      <c r="I68" s="1306"/>
      <c r="J68" s="1297"/>
      <c r="K68" s="1295"/>
      <c r="L68" s="1307"/>
      <c r="M68" s="1307"/>
      <c r="N68" s="1295"/>
      <c r="O68" s="1295"/>
      <c r="P68" s="1295"/>
      <c r="Q68" s="1295">
        <f>J68+K68-L68-M68+N68</f>
        <v>0</v>
      </c>
      <c r="R68" s="1295"/>
      <c r="S68" s="1295"/>
      <c r="T68" s="1295"/>
    </row>
    <row r="69" spans="2:20" ht="12.75">
      <c r="B69" s="1304">
        <v>1025097</v>
      </c>
      <c r="C69" s="1305">
        <v>16</v>
      </c>
      <c r="D69" s="1305">
        <v>10430</v>
      </c>
      <c r="E69" s="1295">
        <v>1</v>
      </c>
      <c r="F69" s="1295"/>
      <c r="G69" s="1318">
        <v>604</v>
      </c>
      <c r="H69" s="1295"/>
      <c r="I69" s="1306"/>
      <c r="J69" s="1297"/>
      <c r="K69" s="1295"/>
      <c r="L69" s="1307"/>
      <c r="M69" s="1307"/>
      <c r="N69" s="1295"/>
      <c r="O69" s="1295"/>
      <c r="P69" s="1295"/>
      <c r="Q69" s="1295">
        <f>J69+K69-L69-M69+N69</f>
        <v>0</v>
      </c>
      <c r="R69" s="1295"/>
      <c r="S69" s="1295"/>
      <c r="T69" s="1295"/>
    </row>
    <row r="70" spans="2:20" ht="12.75">
      <c r="B70" s="1304">
        <v>1025097</v>
      </c>
      <c r="C70" s="1305">
        <v>16</v>
      </c>
      <c r="D70" s="1305">
        <v>10430</v>
      </c>
      <c r="E70" s="1295">
        <v>1</v>
      </c>
      <c r="F70" s="1295"/>
      <c r="G70" s="1318">
        <v>605</v>
      </c>
      <c r="H70" s="1295"/>
      <c r="I70" s="1306"/>
      <c r="J70" s="1297"/>
      <c r="K70" s="1295"/>
      <c r="L70" s="1307"/>
      <c r="M70" s="1307"/>
      <c r="N70" s="1295"/>
      <c r="O70" s="1295"/>
      <c r="P70" s="1295"/>
      <c r="Q70" s="1295">
        <f>J70+K70-L70-M70+N70</f>
        <v>0</v>
      </c>
      <c r="R70" s="1295"/>
      <c r="S70" s="1295"/>
      <c r="T70" s="1295"/>
    </row>
    <row r="71" spans="2:20" ht="12.75">
      <c r="B71" s="1304">
        <v>1025097</v>
      </c>
      <c r="C71" s="1305">
        <v>16</v>
      </c>
      <c r="D71" s="1305">
        <v>10430</v>
      </c>
      <c r="E71" s="1295">
        <v>1</v>
      </c>
      <c r="F71" s="1295"/>
      <c r="G71" s="1296">
        <v>606</v>
      </c>
      <c r="H71" s="1295">
        <v>2131.8000000000002</v>
      </c>
      <c r="I71" s="1306">
        <v>2132</v>
      </c>
      <c r="J71" s="1295">
        <f>2092368+35552+3950</f>
        <v>2131870</v>
      </c>
      <c r="K71" s="1295"/>
      <c r="L71" s="1307"/>
      <c r="M71" s="1307"/>
      <c r="N71" s="1295"/>
      <c r="O71" s="1295"/>
      <c r="P71" s="1295"/>
      <c r="Q71" s="1295">
        <f>J71+K71-L71-M71+N71</f>
        <v>2131870</v>
      </c>
      <c r="R71" s="1295"/>
      <c r="S71" s="1295"/>
      <c r="T71" s="1295"/>
    </row>
    <row r="72" spans="2:20" ht="12.75">
      <c r="B72" s="1310"/>
      <c r="C72" s="1311">
        <v>16</v>
      </c>
      <c r="D72" s="1311">
        <v>10430</v>
      </c>
      <c r="E72" s="1312">
        <v>1</v>
      </c>
      <c r="F72" s="1312"/>
      <c r="G72" s="1313">
        <v>6029999</v>
      </c>
      <c r="H72" s="1316">
        <f>SUM(H67:H71)</f>
        <v>27300</v>
      </c>
      <c r="I72" s="1319">
        <f>SUM(I67:I71)</f>
        <v>21870</v>
      </c>
      <c r="J72" s="1316">
        <f>SUM(J67:J71)</f>
        <v>46284444</v>
      </c>
      <c r="K72" s="1316">
        <f>SUM(K67:K71)</f>
        <v>0</v>
      </c>
      <c r="L72" s="1316">
        <v>0</v>
      </c>
      <c r="M72" s="1316">
        <f>SUM(M67:M71)</f>
        <v>0</v>
      </c>
      <c r="N72" s="1316">
        <f>SUM(N67:N71)</f>
        <v>0</v>
      </c>
      <c r="O72" s="1316">
        <f>SUM(O67:O71)</f>
        <v>3000</v>
      </c>
      <c r="P72" s="1316">
        <f>SUM(P67:P71)</f>
        <v>3073157</v>
      </c>
      <c r="Q72" s="1316">
        <f>SUM(Q67:Q71)</f>
        <v>43208287</v>
      </c>
      <c r="R72" s="1312"/>
      <c r="S72" s="1312"/>
      <c r="T72" s="1312"/>
    </row>
    <row r="73" spans="2:20" ht="12.75">
      <c r="B73" s="1304">
        <v>1025097</v>
      </c>
      <c r="C73" s="1305">
        <v>16</v>
      </c>
      <c r="D73" s="1305">
        <v>10430</v>
      </c>
      <c r="E73" s="1295">
        <v>6</v>
      </c>
      <c r="F73" s="1295"/>
      <c r="G73" s="1296">
        <v>600</v>
      </c>
      <c r="H73" s="1295">
        <v>2250242</v>
      </c>
      <c r="I73" s="1306">
        <f>H73</f>
        <v>2250242</v>
      </c>
      <c r="J73" s="1295">
        <f>2035693+127497+8160+82833+5715+2790-5</f>
        <v>2262683</v>
      </c>
      <c r="K73" s="1295"/>
      <c r="L73" s="1309"/>
      <c r="M73" s="1309"/>
      <c r="N73" s="1295">
        <f>375907+8160+2790</f>
        <v>386857</v>
      </c>
      <c r="O73" s="1295"/>
      <c r="P73" s="1295"/>
      <c r="Q73" s="1295">
        <f>J73-N73</f>
        <v>1875826</v>
      </c>
      <c r="R73" s="1295"/>
      <c r="S73" s="1295"/>
      <c r="T73" s="1295"/>
    </row>
    <row r="74" spans="2:20" ht="12.75">
      <c r="B74" s="1304">
        <v>1025097</v>
      </c>
      <c r="C74" s="1305">
        <v>16</v>
      </c>
      <c r="D74" s="1305">
        <v>10430</v>
      </c>
      <c r="E74" s="1295">
        <v>6</v>
      </c>
      <c r="F74" s="1295"/>
      <c r="G74" s="1296">
        <v>601</v>
      </c>
      <c r="H74" s="1295">
        <v>364899</v>
      </c>
      <c r="I74" s="1306">
        <f>H74</f>
        <v>364899</v>
      </c>
      <c r="J74" s="1295">
        <f>N74</f>
        <v>326106</v>
      </c>
      <c r="K74" s="1295"/>
      <c r="L74" s="1309"/>
      <c r="M74" s="1309"/>
      <c r="N74" s="1295">
        <f>189474+25512+8594+25512+12878+42622+21514</f>
        <v>326106</v>
      </c>
      <c r="O74" s="1295"/>
      <c r="P74" s="1295"/>
      <c r="Q74" s="1295">
        <v>0</v>
      </c>
      <c r="R74" s="1295"/>
      <c r="S74" s="1295"/>
      <c r="T74" s="1295"/>
    </row>
    <row r="75" spans="2:20" ht="12.75">
      <c r="B75" s="1304">
        <v>1025097</v>
      </c>
      <c r="C75" s="1305">
        <v>16</v>
      </c>
      <c r="D75" s="1305">
        <v>10430</v>
      </c>
      <c r="E75" s="1295">
        <v>6</v>
      </c>
      <c r="F75" s="1295"/>
      <c r="G75" s="1296">
        <v>602</v>
      </c>
      <c r="H75" s="1295">
        <v>218200</v>
      </c>
      <c r="I75" s="1306">
        <v>218200</v>
      </c>
      <c r="J75" s="1295">
        <f>158555+16530+9000+5136+1500</f>
        <v>190721</v>
      </c>
      <c r="K75" s="1295"/>
      <c r="L75" s="1309"/>
      <c r="M75" s="1309"/>
      <c r="N75" s="1295">
        <v>0</v>
      </c>
      <c r="O75" s="1295"/>
      <c r="P75" s="1295"/>
      <c r="Q75" s="1295">
        <f>J75+K75-L75-M75+N75</f>
        <v>190721</v>
      </c>
      <c r="R75" s="1295"/>
      <c r="S75" s="1295"/>
      <c r="T75" s="1295"/>
    </row>
    <row r="76" spans="2:20" ht="12.75">
      <c r="B76" s="1304"/>
      <c r="C76" s="1305"/>
      <c r="D76" s="1305"/>
      <c r="E76" s="1295"/>
      <c r="F76" s="1295"/>
      <c r="G76" s="1296"/>
      <c r="H76" s="1295"/>
      <c r="I76" s="1306"/>
      <c r="J76" s="1312"/>
      <c r="K76" s="1295"/>
      <c r="L76" s="1309"/>
      <c r="M76" s="1309"/>
      <c r="N76" s="1295">
        <f>SUM(N73:N75)</f>
        <v>712963</v>
      </c>
      <c r="O76" s="1295"/>
      <c r="P76" s="1295"/>
      <c r="Q76" s="1295">
        <f>J76+K76-L76-M76+N76</f>
        <v>712963</v>
      </c>
      <c r="R76" s="1295"/>
      <c r="S76" s="1295"/>
      <c r="T76" s="1295"/>
    </row>
    <row r="77" spans="2:20" ht="12.75">
      <c r="B77" s="1320"/>
      <c r="C77" s="1320"/>
      <c r="D77" s="1320"/>
      <c r="E77" s="1320"/>
      <c r="F77" s="1320"/>
      <c r="G77" s="1321" t="s">
        <v>82</v>
      </c>
      <c r="H77" s="1322"/>
      <c r="I77" s="1323"/>
      <c r="J77" s="1322">
        <f>J66+J72+J73+J74+J75</f>
        <v>90434796</v>
      </c>
      <c r="K77" s="1322">
        <f>SUM(K61:K75)</f>
        <v>0</v>
      </c>
      <c r="L77" s="1322">
        <v>0</v>
      </c>
      <c r="M77" s="1322">
        <f>SUM(M61:M75)</f>
        <v>0</v>
      </c>
      <c r="N77" s="1322">
        <f>N66+N73+N74</f>
        <v>12867061</v>
      </c>
      <c r="O77" s="1322">
        <f>O72</f>
        <v>3000</v>
      </c>
      <c r="P77" s="1324">
        <f>SUM(P72:P76)</f>
        <v>3073157</v>
      </c>
      <c r="Q77" s="1322">
        <f>Q66+Q72+Q73+Q74+Q75</f>
        <v>74491578</v>
      </c>
      <c r="R77" s="1322"/>
      <c r="S77" s="1322"/>
      <c r="T77" s="1322"/>
    </row>
  </sheetData>
  <mergeCells count="11">
    <mergeCell ref="H32:L32"/>
    <mergeCell ref="B2:E2"/>
    <mergeCell ref="B12:E12"/>
    <mergeCell ref="F14:I14"/>
    <mergeCell ref="B28:G28"/>
    <mergeCell ref="B30:Q30"/>
    <mergeCell ref="S33:T33"/>
    <mergeCell ref="B54:G54"/>
    <mergeCell ref="B56:Q56"/>
    <mergeCell ref="H58:L58"/>
    <mergeCell ref="S59:T59"/>
  </mergeCells>
  <pageMargins left="0" right="0" top="0.5" bottom="0.92" header="0" footer="0"/>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6"/>
  <sheetViews>
    <sheetView workbookViewId="0">
      <selection activeCell="V84" sqref="V84"/>
    </sheetView>
  </sheetViews>
  <sheetFormatPr defaultRowHeight="12.75"/>
  <cols>
    <col min="1" max="1" width="5.7109375" customWidth="1"/>
    <col min="2" max="2" width="3" customWidth="1"/>
    <col min="3" max="3" width="14" bestFit="1" customWidth="1"/>
    <col min="4" max="4" width="12.7109375" bestFit="1" customWidth="1"/>
    <col min="5" max="5" width="28.7109375" bestFit="1" customWidth="1"/>
    <col min="7" max="7" width="11.28515625" customWidth="1"/>
    <col min="8" max="8" width="9.5703125" customWidth="1"/>
    <col min="9" max="9" width="12.5703125" customWidth="1"/>
    <col min="10" max="10" width="4.85546875" customWidth="1"/>
    <col min="11" max="11" width="5.42578125" customWidth="1"/>
    <col min="12" max="12" width="4.5703125" customWidth="1"/>
    <col min="13" max="13" width="11.28515625" customWidth="1"/>
    <col min="14" max="14" width="7.5703125" customWidth="1"/>
    <col min="15" max="15" width="7.7109375" customWidth="1"/>
    <col min="16" max="16" width="10" customWidth="1"/>
    <col min="17" max="17" width="11.85546875" customWidth="1"/>
    <col min="18" max="18" width="2.7109375" customWidth="1"/>
    <col min="19" max="19" width="4.140625" customWidth="1"/>
    <col min="20" max="20" width="4" customWidth="1"/>
  </cols>
  <sheetData>
    <row r="1" spans="1:14" ht="15.75">
      <c r="A1" s="2566" t="s">
        <v>271</v>
      </c>
      <c r="B1" s="2567"/>
      <c r="C1" s="2567"/>
      <c r="D1" s="2567"/>
      <c r="E1" s="1240"/>
      <c r="F1" s="1240"/>
      <c r="G1" s="1240"/>
      <c r="H1" s="1240"/>
      <c r="I1" s="1240"/>
      <c r="J1" s="1240"/>
      <c r="K1" s="1240"/>
      <c r="L1" s="1240"/>
      <c r="M1" s="1240"/>
      <c r="N1" s="1241"/>
    </row>
    <row r="2" spans="1:14" ht="16.5" thickBot="1">
      <c r="A2" s="1242"/>
      <c r="B2" s="179" t="s">
        <v>558</v>
      </c>
      <c r="C2" s="179"/>
      <c r="D2" s="179"/>
      <c r="E2" s="177"/>
      <c r="F2" s="177"/>
      <c r="G2" s="177"/>
      <c r="H2" s="177"/>
      <c r="I2" s="177"/>
      <c r="J2" s="177"/>
      <c r="K2" s="177"/>
      <c r="L2" s="177"/>
      <c r="M2" s="177"/>
      <c r="N2" s="1243"/>
    </row>
    <row r="3" spans="1:14" ht="16.5" thickBot="1">
      <c r="A3" s="1237" t="s">
        <v>131</v>
      </c>
      <c r="B3" s="1235" t="s">
        <v>66</v>
      </c>
      <c r="C3" s="1238" t="s">
        <v>67</v>
      </c>
      <c r="D3" s="1234" t="s">
        <v>68</v>
      </c>
      <c r="E3" s="1235" t="s">
        <v>69</v>
      </c>
      <c r="F3" s="1235" t="s">
        <v>70</v>
      </c>
      <c r="G3" s="1235" t="s">
        <v>71</v>
      </c>
      <c r="H3" s="1235" t="s">
        <v>72</v>
      </c>
      <c r="I3" s="1236" t="s">
        <v>73</v>
      </c>
      <c r="J3" s="1239" t="s">
        <v>74</v>
      </c>
      <c r="K3" s="1235" t="s">
        <v>75</v>
      </c>
      <c r="L3" s="1235" t="s">
        <v>77</v>
      </c>
      <c r="M3" s="1238" t="s">
        <v>76</v>
      </c>
      <c r="N3" s="172" t="s">
        <v>82</v>
      </c>
    </row>
    <row r="4" spans="1:14" ht="15.75">
      <c r="A4" s="1273">
        <v>600</v>
      </c>
      <c r="B4" s="1228">
        <v>8395</v>
      </c>
      <c r="C4" s="1228">
        <v>2555</v>
      </c>
      <c r="D4" s="1228">
        <v>2555</v>
      </c>
      <c r="E4" s="1228">
        <v>2555</v>
      </c>
      <c r="F4" s="1228">
        <v>2555</v>
      </c>
      <c r="G4" s="1228">
        <v>2555</v>
      </c>
      <c r="H4" s="1228">
        <v>2555</v>
      </c>
      <c r="I4" s="1228">
        <v>2555</v>
      </c>
      <c r="J4" s="1228">
        <v>2555</v>
      </c>
      <c r="K4" s="1228">
        <v>2555</v>
      </c>
      <c r="L4" s="1228">
        <v>2555</v>
      </c>
      <c r="M4" s="1228">
        <v>2555</v>
      </c>
      <c r="N4" s="188">
        <v>36500</v>
      </c>
    </row>
    <row r="5" spans="1:14" ht="15.75">
      <c r="A5" s="1274">
        <v>601</v>
      </c>
      <c r="B5" s="195">
        <v>1578</v>
      </c>
      <c r="C5" s="1275">
        <v>480.2</v>
      </c>
      <c r="D5" s="1275">
        <v>480.2</v>
      </c>
      <c r="E5" s="1275">
        <v>480.2</v>
      </c>
      <c r="F5" s="1275">
        <v>480.2</v>
      </c>
      <c r="G5" s="1275">
        <v>480.2</v>
      </c>
      <c r="H5" s="1275">
        <v>480.2</v>
      </c>
      <c r="I5" s="1275">
        <v>480.2</v>
      </c>
      <c r="J5" s="1275">
        <v>480.2</v>
      </c>
      <c r="K5" s="1275">
        <v>480.2</v>
      </c>
      <c r="L5" s="1275">
        <v>480.2</v>
      </c>
      <c r="M5" s="1275">
        <v>480.2</v>
      </c>
      <c r="N5" s="190">
        <v>6860.199999999998</v>
      </c>
    </row>
    <row r="6" spans="1:14" ht="15.75">
      <c r="A6" s="184" t="s">
        <v>81</v>
      </c>
      <c r="B6" s="1227">
        <v>9973</v>
      </c>
      <c r="C6" s="197">
        <v>3035.2</v>
      </c>
      <c r="D6" s="197">
        <v>3035.2</v>
      </c>
      <c r="E6" s="197">
        <v>3035.2</v>
      </c>
      <c r="F6" s="197">
        <v>3035.2</v>
      </c>
      <c r="G6" s="197">
        <v>3035.2</v>
      </c>
      <c r="H6" s="197">
        <v>3035.2</v>
      </c>
      <c r="I6" s="1258">
        <v>3035.2</v>
      </c>
      <c r="J6" s="197">
        <v>3035.2</v>
      </c>
      <c r="K6" s="197">
        <v>3035.2</v>
      </c>
      <c r="L6" s="197">
        <v>3035.2</v>
      </c>
      <c r="M6" s="198">
        <v>3035.2</v>
      </c>
      <c r="N6" s="190">
        <v>43360.2</v>
      </c>
    </row>
    <row r="7" spans="1:14" ht="16.5" thickBot="1">
      <c r="A7" s="1276">
        <v>602</v>
      </c>
      <c r="B7" s="199">
        <v>13800</v>
      </c>
      <c r="C7" s="199">
        <v>1200</v>
      </c>
      <c r="D7" s="1277">
        <v>-1.3540000000000418</v>
      </c>
      <c r="E7" s="199">
        <v>1200</v>
      </c>
      <c r="F7" s="199">
        <v>1200</v>
      </c>
      <c r="G7" s="199">
        <v>1200</v>
      </c>
      <c r="H7" s="199">
        <v>1200</v>
      </c>
      <c r="I7" s="199">
        <v>1200</v>
      </c>
      <c r="J7" s="199">
        <v>1200</v>
      </c>
      <c r="K7" s="199">
        <v>1200</v>
      </c>
      <c r="L7" s="199">
        <v>1200</v>
      </c>
      <c r="M7" s="199">
        <v>1200</v>
      </c>
      <c r="N7" s="1262">
        <v>25798.646000000001</v>
      </c>
    </row>
    <row r="8" spans="1:14" ht="16.5" thickBot="1">
      <c r="A8" s="1278" t="s">
        <v>79</v>
      </c>
      <c r="B8" s="847">
        <v>23773</v>
      </c>
      <c r="C8" s="847">
        <v>4235.2</v>
      </c>
      <c r="D8" s="847">
        <v>3033.8459999999995</v>
      </c>
      <c r="E8" s="847">
        <v>4235.2</v>
      </c>
      <c r="F8" s="847">
        <v>4235.2</v>
      </c>
      <c r="G8" s="847">
        <v>4235.2</v>
      </c>
      <c r="H8" s="847">
        <v>4235.2</v>
      </c>
      <c r="I8" s="847">
        <v>4235.2</v>
      </c>
      <c r="J8" s="847">
        <v>4235.2</v>
      </c>
      <c r="K8" s="847">
        <v>4235.2</v>
      </c>
      <c r="L8" s="847">
        <v>4235.2</v>
      </c>
      <c r="M8" s="848">
        <v>4235.2</v>
      </c>
      <c r="N8" s="1263">
        <v>69158.84599999999</v>
      </c>
    </row>
    <row r="9" spans="1:14" ht="16.5" thickBot="1">
      <c r="A9" s="1279">
        <v>606</v>
      </c>
      <c r="B9" s="1256"/>
      <c r="C9" s="1256"/>
      <c r="D9" s="1280">
        <v>1201.354</v>
      </c>
      <c r="E9" s="1256"/>
      <c r="F9" s="1281"/>
      <c r="G9" s="1256"/>
      <c r="H9" s="1256"/>
      <c r="I9" s="1256"/>
      <c r="J9" s="1256"/>
      <c r="K9" s="1256"/>
      <c r="L9" s="1257"/>
      <c r="M9" s="1282"/>
      <c r="N9" s="1262">
        <v>1201.354</v>
      </c>
    </row>
    <row r="10" spans="1:14" ht="16.5" thickBot="1">
      <c r="A10" s="1276">
        <v>231</v>
      </c>
      <c r="B10" s="678"/>
      <c r="C10" s="678"/>
      <c r="D10" s="678"/>
      <c r="E10" s="678"/>
      <c r="F10" s="678">
        <v>33300</v>
      </c>
      <c r="G10" s="678">
        <v>35823</v>
      </c>
      <c r="H10" s="678"/>
      <c r="I10" s="678"/>
      <c r="J10" s="678"/>
      <c r="K10" s="678"/>
      <c r="L10" s="1229"/>
      <c r="M10" s="1283"/>
      <c r="N10" s="1263">
        <v>69123</v>
      </c>
    </row>
    <row r="11" spans="1:14" ht="16.5" thickBot="1">
      <c r="A11" s="2568" t="s">
        <v>546</v>
      </c>
      <c r="B11" s="2569"/>
      <c r="C11" s="2569"/>
      <c r="D11" s="2569"/>
      <c r="E11" s="1230"/>
      <c r="F11" s="1230"/>
      <c r="G11" s="1230"/>
      <c r="H11" s="1230"/>
      <c r="I11" s="1230"/>
      <c r="J11" s="1230"/>
      <c r="K11" s="1230"/>
      <c r="L11" s="1230"/>
      <c r="M11" s="1230"/>
      <c r="N11" s="1265">
        <v>139483.19999999998</v>
      </c>
    </row>
    <row r="12" spans="1:14" ht="15.75">
      <c r="A12" s="1284"/>
      <c r="B12" s="609"/>
      <c r="C12" s="609"/>
      <c r="D12" s="609"/>
      <c r="E12" s="609"/>
      <c r="F12" s="609"/>
      <c r="G12" s="609"/>
      <c r="H12" s="609"/>
      <c r="I12" s="609"/>
      <c r="J12" s="609"/>
      <c r="K12" s="609"/>
      <c r="L12" s="609"/>
      <c r="M12" s="609"/>
      <c r="N12" s="1246"/>
    </row>
    <row r="13" spans="1:14" ht="20.25">
      <c r="A13" s="1242"/>
      <c r="B13" s="201"/>
      <c r="C13" s="201"/>
      <c r="D13" s="201"/>
      <c r="E13" s="2570" t="s">
        <v>559</v>
      </c>
      <c r="F13" s="2570"/>
      <c r="G13" s="2570"/>
      <c r="H13" s="2570"/>
      <c r="I13" s="201"/>
      <c r="J13" s="201"/>
      <c r="K13" s="201"/>
      <c r="L13" s="201"/>
      <c r="M13" s="201"/>
      <c r="N13" s="1247"/>
    </row>
    <row r="14" spans="1:14" ht="15">
      <c r="A14" s="1242"/>
      <c r="B14" s="201"/>
      <c r="C14" s="1233" t="s">
        <v>557</v>
      </c>
      <c r="D14" s="1233" t="s">
        <v>556</v>
      </c>
      <c r="E14" s="1233" t="s">
        <v>555</v>
      </c>
      <c r="F14" s="1233" t="s">
        <v>554</v>
      </c>
      <c r="G14" s="1233" t="s">
        <v>553</v>
      </c>
      <c r="H14" s="1233" t="s">
        <v>552</v>
      </c>
      <c r="I14" s="1233" t="s">
        <v>551</v>
      </c>
      <c r="J14" s="1233" t="s">
        <v>550</v>
      </c>
      <c r="K14" s="1233" t="s">
        <v>549</v>
      </c>
      <c r="L14" s="1233" t="s">
        <v>548</v>
      </c>
      <c r="M14" s="1233" t="s">
        <v>547</v>
      </c>
      <c r="N14" s="1248"/>
    </row>
    <row r="15" spans="1:14" ht="16.5" thickBot="1">
      <c r="A15" s="1242"/>
      <c r="B15" s="201"/>
      <c r="C15" s="1231" t="s">
        <v>67</v>
      </c>
      <c r="D15" s="1231" t="s">
        <v>68</v>
      </c>
      <c r="E15" s="1231" t="s">
        <v>69</v>
      </c>
      <c r="F15" s="1231" t="s">
        <v>70</v>
      </c>
      <c r="G15" s="1231" t="s">
        <v>71</v>
      </c>
      <c r="H15" s="1231" t="s">
        <v>72</v>
      </c>
      <c r="I15" s="1231" t="s">
        <v>73</v>
      </c>
      <c r="J15" s="1231" t="s">
        <v>74</v>
      </c>
      <c r="K15" s="1231" t="s">
        <v>75</v>
      </c>
      <c r="L15" s="1231" t="s">
        <v>77</v>
      </c>
      <c r="M15" s="1232" t="s">
        <v>76</v>
      </c>
      <c r="N15" s="620" t="s">
        <v>82</v>
      </c>
    </row>
    <row r="16" spans="1:14" ht="15.75">
      <c r="A16" s="1285">
        <v>600</v>
      </c>
      <c r="B16" s="204"/>
      <c r="C16" s="181">
        <v>10950</v>
      </c>
      <c r="D16" s="181">
        <v>13505</v>
      </c>
      <c r="E16" s="181">
        <v>16060</v>
      </c>
      <c r="F16" s="181">
        <v>18615</v>
      </c>
      <c r="G16" s="181">
        <v>21170</v>
      </c>
      <c r="H16" s="181">
        <v>23725</v>
      </c>
      <c r="I16" s="181">
        <v>26280</v>
      </c>
      <c r="J16" s="181">
        <v>28835</v>
      </c>
      <c r="K16" s="181">
        <v>31390</v>
      </c>
      <c r="L16" s="181">
        <v>33945</v>
      </c>
      <c r="M16" s="181">
        <v>36500</v>
      </c>
      <c r="N16" s="188">
        <v>36500</v>
      </c>
    </row>
    <row r="17" spans="1:14" ht="15.75">
      <c r="A17" s="1274">
        <v>601</v>
      </c>
      <c r="B17" s="205"/>
      <c r="C17" s="181">
        <v>2058.1999999999998</v>
      </c>
      <c r="D17" s="181">
        <v>2538.3999999999996</v>
      </c>
      <c r="E17" s="181">
        <v>3018.5999999999995</v>
      </c>
      <c r="F17" s="181">
        <v>3498.7999999999993</v>
      </c>
      <c r="G17" s="181">
        <v>3978.9999999999991</v>
      </c>
      <c r="H17" s="181">
        <v>4459.1999999999989</v>
      </c>
      <c r="I17" s="181">
        <v>4939.3999999999987</v>
      </c>
      <c r="J17" s="181">
        <v>5419.5999999999985</v>
      </c>
      <c r="K17" s="181">
        <v>5599.7999999999984</v>
      </c>
      <c r="L17" s="181">
        <v>6379.9999999999982</v>
      </c>
      <c r="M17" s="189">
        <v>6860.199999999998</v>
      </c>
      <c r="N17" s="188">
        <v>6860.199999999998</v>
      </c>
    </row>
    <row r="18" spans="1:14" ht="15.75">
      <c r="A18" s="184" t="s">
        <v>81</v>
      </c>
      <c r="B18" s="205"/>
      <c r="C18" s="181">
        <v>13008.2</v>
      </c>
      <c r="D18" s="181">
        <v>16043.400000000001</v>
      </c>
      <c r="E18" s="181">
        <v>19078.600000000002</v>
      </c>
      <c r="F18" s="181">
        <v>22113.800000000003</v>
      </c>
      <c r="G18" s="181">
        <v>25149.000000000004</v>
      </c>
      <c r="H18" s="181">
        <v>28184.200000000004</v>
      </c>
      <c r="I18" s="181">
        <v>31219.400000000005</v>
      </c>
      <c r="J18" s="181">
        <v>34254.600000000006</v>
      </c>
      <c r="K18" s="181">
        <v>37289.800000000003</v>
      </c>
      <c r="L18" s="181">
        <v>40325</v>
      </c>
      <c r="M18" s="181">
        <v>43360.2</v>
      </c>
      <c r="N18" s="188">
        <v>43360.2</v>
      </c>
    </row>
    <row r="19" spans="1:14" ht="15.75">
      <c r="A19" s="1274">
        <v>602</v>
      </c>
      <c r="B19" s="205"/>
      <c r="C19" s="181">
        <v>15000</v>
      </c>
      <c r="D19" s="181">
        <v>14998.646000000001</v>
      </c>
      <c r="E19" s="181">
        <v>16198.646000000001</v>
      </c>
      <c r="F19" s="181">
        <v>17398.646000000001</v>
      </c>
      <c r="G19" s="181">
        <v>18598.646000000001</v>
      </c>
      <c r="H19" s="181">
        <v>19798.646000000001</v>
      </c>
      <c r="I19" s="181">
        <v>20998.646000000001</v>
      </c>
      <c r="J19" s="181">
        <v>22198.646000000001</v>
      </c>
      <c r="K19" s="181">
        <v>23398.646000000001</v>
      </c>
      <c r="L19" s="181">
        <v>24598.646000000001</v>
      </c>
      <c r="M19" s="181">
        <v>25798.646000000001</v>
      </c>
      <c r="N19" s="188">
        <v>25798.646000000001</v>
      </c>
    </row>
    <row r="20" spans="1:14" ht="15.75">
      <c r="A20" s="1274" t="s">
        <v>79</v>
      </c>
      <c r="B20" s="205"/>
      <c r="C20" s="181">
        <v>28008.2</v>
      </c>
      <c r="D20" s="181">
        <v>31042.046000000002</v>
      </c>
      <c r="E20" s="181">
        <v>35277.245999999999</v>
      </c>
      <c r="F20" s="181">
        <v>39512.446000000004</v>
      </c>
      <c r="G20" s="181">
        <v>43747.646000000008</v>
      </c>
      <c r="H20" s="181">
        <v>47982.846000000005</v>
      </c>
      <c r="I20" s="181">
        <v>52218.046000000002</v>
      </c>
      <c r="J20" s="181">
        <v>56453.246000000006</v>
      </c>
      <c r="K20" s="181">
        <v>60688.446000000004</v>
      </c>
      <c r="L20" s="181">
        <v>64923.646000000001</v>
      </c>
      <c r="M20" s="181">
        <v>69158.84599999999</v>
      </c>
      <c r="N20" s="188">
        <v>69158.84599999999</v>
      </c>
    </row>
    <row r="21" spans="1:14" ht="15.75">
      <c r="A21" s="1286">
        <v>606</v>
      </c>
      <c r="B21" s="205"/>
      <c r="C21" s="181"/>
      <c r="D21" s="181"/>
      <c r="E21" s="181"/>
      <c r="F21" s="181">
        <v>1201.354</v>
      </c>
      <c r="G21" s="181"/>
      <c r="H21" s="181"/>
      <c r="I21" s="181"/>
      <c r="J21" s="181"/>
      <c r="K21" s="181">
        <v>0</v>
      </c>
      <c r="L21" s="181">
        <v>0</v>
      </c>
      <c r="M21" s="181">
        <v>0</v>
      </c>
      <c r="N21" s="1267">
        <v>1201.354</v>
      </c>
    </row>
    <row r="22" spans="1:14" ht="15.75">
      <c r="A22" s="1286">
        <v>231</v>
      </c>
      <c r="B22" s="205"/>
      <c r="C22" s="181"/>
      <c r="D22" s="181"/>
      <c r="E22" s="181"/>
      <c r="F22" s="181">
        <v>33300</v>
      </c>
      <c r="G22" s="181">
        <v>35823</v>
      </c>
      <c r="H22" s="181"/>
      <c r="I22" s="181"/>
      <c r="J22" s="181"/>
      <c r="K22" s="181"/>
      <c r="L22" s="181"/>
      <c r="M22" s="181"/>
      <c r="N22" s="197">
        <v>69123</v>
      </c>
    </row>
    <row r="23" spans="1:14" ht="16.5" thickBot="1">
      <c r="A23" s="1252"/>
      <c r="B23" s="1253"/>
      <c r="C23" s="1254">
        <v>28008.2</v>
      </c>
      <c r="D23" s="1254">
        <v>31042.046000000002</v>
      </c>
      <c r="E23" s="1254">
        <v>35277.245999999999</v>
      </c>
      <c r="F23" s="1254">
        <v>74013.8</v>
      </c>
      <c r="G23" s="1254">
        <v>79570.646000000008</v>
      </c>
      <c r="H23" s="1254">
        <v>47982.846000000005</v>
      </c>
      <c r="I23" s="1254">
        <v>52218.046000000002</v>
      </c>
      <c r="J23" s="1254">
        <v>56453.246000000006</v>
      </c>
      <c r="K23" s="1254">
        <v>60688.446000000004</v>
      </c>
      <c r="L23" s="1254">
        <v>64923.646000000001</v>
      </c>
      <c r="M23" s="1287">
        <v>69158.84599999999</v>
      </c>
      <c r="N23" s="1288">
        <v>139483.20000000001</v>
      </c>
    </row>
    <row r="26" spans="1:14" ht="18.75">
      <c r="A26" s="1325" t="s">
        <v>585</v>
      </c>
      <c r="B26" s="1326"/>
      <c r="C26" s="1326"/>
      <c r="D26" s="1326"/>
      <c r="E26" s="1327"/>
      <c r="F26" s="1328"/>
    </row>
    <row r="27" spans="1:14" ht="15.75" thickBot="1">
      <c r="A27" s="1329" t="s">
        <v>586</v>
      </c>
      <c r="B27" s="1327"/>
      <c r="C27" s="1327"/>
      <c r="D27" s="1327"/>
      <c r="E27" s="1327"/>
      <c r="F27" s="1328"/>
      <c r="G27" s="1330"/>
    </row>
    <row r="28" spans="1:14" ht="189">
      <c r="A28" s="1331" t="s">
        <v>7</v>
      </c>
      <c r="B28" s="1332" t="s">
        <v>587</v>
      </c>
      <c r="C28" s="1333" t="s">
        <v>588</v>
      </c>
      <c r="D28" s="1333" t="s">
        <v>589</v>
      </c>
      <c r="E28" s="1332" t="s">
        <v>590</v>
      </c>
      <c r="F28" s="1332" t="s">
        <v>591</v>
      </c>
      <c r="G28" s="1334" t="s">
        <v>592</v>
      </c>
    </row>
    <row r="29" spans="1:14" ht="26.25">
      <c r="A29" s="1335">
        <v>1</v>
      </c>
      <c r="B29" s="1336" t="s">
        <v>593</v>
      </c>
      <c r="C29" s="1337"/>
      <c r="D29" s="1338">
        <v>400000</v>
      </c>
      <c r="E29" s="1339" t="s">
        <v>594</v>
      </c>
      <c r="F29" s="1339" t="s">
        <v>595</v>
      </c>
      <c r="G29" s="1340" t="s">
        <v>596</v>
      </c>
    </row>
    <row r="30" spans="1:14" ht="26.25">
      <c r="A30" s="1335">
        <v>2</v>
      </c>
      <c r="B30" s="2571" t="s">
        <v>597</v>
      </c>
      <c r="C30" s="2572"/>
      <c r="D30" s="1338">
        <v>100000</v>
      </c>
      <c r="E30" s="1339" t="s">
        <v>594</v>
      </c>
      <c r="F30" s="1339" t="s">
        <v>595</v>
      </c>
      <c r="G30" s="1340" t="s">
        <v>596</v>
      </c>
    </row>
    <row r="31" spans="1:14" ht="60.75">
      <c r="A31" s="1335">
        <v>3</v>
      </c>
      <c r="B31" s="1336" t="s">
        <v>598</v>
      </c>
      <c r="C31" s="1337"/>
      <c r="D31" s="1338">
        <v>700000</v>
      </c>
      <c r="E31" s="1339" t="s">
        <v>594</v>
      </c>
      <c r="F31" s="1341" t="s">
        <v>599</v>
      </c>
      <c r="G31" s="1340" t="s">
        <v>596</v>
      </c>
    </row>
    <row r="32" spans="1:14" ht="26.25">
      <c r="A32" s="1335">
        <v>4</v>
      </c>
      <c r="B32" s="1336" t="s">
        <v>600</v>
      </c>
      <c r="C32" s="1337"/>
      <c r="D32" s="1338">
        <v>1000000</v>
      </c>
      <c r="E32" s="1339" t="s">
        <v>594</v>
      </c>
      <c r="F32" s="1339" t="s">
        <v>601</v>
      </c>
      <c r="G32" s="1340" t="s">
        <v>596</v>
      </c>
    </row>
    <row r="33" spans="1:8" ht="26.25">
      <c r="A33" s="1335">
        <v>5</v>
      </c>
      <c r="B33" s="1336" t="s">
        <v>602</v>
      </c>
      <c r="C33" s="1337"/>
      <c r="D33" s="1338">
        <v>600000</v>
      </c>
      <c r="E33" s="1339" t="s">
        <v>594</v>
      </c>
      <c r="F33" s="1339" t="s">
        <v>601</v>
      </c>
      <c r="G33" s="1340" t="s">
        <v>596</v>
      </c>
    </row>
    <row r="34" spans="1:8" ht="39">
      <c r="A34" s="1335">
        <v>6</v>
      </c>
      <c r="B34" s="1336" t="s">
        <v>603</v>
      </c>
      <c r="C34" s="1337"/>
      <c r="D34" s="1338">
        <v>800000</v>
      </c>
      <c r="E34" s="1339" t="s">
        <v>594</v>
      </c>
      <c r="F34" s="1339" t="s">
        <v>604</v>
      </c>
      <c r="G34" s="1340" t="s">
        <v>596</v>
      </c>
    </row>
    <row r="35" spans="1:8" ht="51.75">
      <c r="A35" s="1335">
        <v>7</v>
      </c>
      <c r="B35" s="1336" t="s">
        <v>605</v>
      </c>
      <c r="C35" s="1337"/>
      <c r="D35" s="1338">
        <v>1000000</v>
      </c>
      <c r="E35" s="1339" t="s">
        <v>594</v>
      </c>
      <c r="F35" s="1339" t="s">
        <v>606</v>
      </c>
      <c r="G35" s="1340" t="s">
        <v>596</v>
      </c>
    </row>
    <row r="36" spans="1:8" ht="39">
      <c r="A36" s="1335">
        <v>8</v>
      </c>
      <c r="B36" s="1342" t="s">
        <v>607</v>
      </c>
      <c r="C36" s="1343"/>
      <c r="D36" s="1338">
        <v>300000</v>
      </c>
      <c r="E36" s="1339" t="s">
        <v>594</v>
      </c>
      <c r="F36" s="1339" t="s">
        <v>604</v>
      </c>
      <c r="G36" s="1340" t="s">
        <v>596</v>
      </c>
    </row>
    <row r="37" spans="1:8" ht="26.25">
      <c r="A37" s="1335">
        <v>9</v>
      </c>
      <c r="B37" s="1344" t="s">
        <v>608</v>
      </c>
      <c r="C37" s="1345"/>
      <c r="D37" s="1346">
        <v>200000</v>
      </c>
      <c r="E37" s="1339" t="s">
        <v>594</v>
      </c>
      <c r="F37" s="1339" t="s">
        <v>601</v>
      </c>
      <c r="G37" s="1340" t="s">
        <v>596</v>
      </c>
    </row>
    <row r="38" spans="1:8" ht="26.25">
      <c r="A38" s="1335">
        <v>10</v>
      </c>
      <c r="B38" s="1347" t="s">
        <v>609</v>
      </c>
      <c r="C38" s="1348"/>
      <c r="D38" s="1338">
        <v>200000</v>
      </c>
      <c r="E38" s="1339" t="s">
        <v>594</v>
      </c>
      <c r="F38" s="1339" t="s">
        <v>601</v>
      </c>
      <c r="G38" s="1340" t="s">
        <v>596</v>
      </c>
    </row>
    <row r="39" spans="1:8" ht="39">
      <c r="A39" s="1335">
        <v>11</v>
      </c>
      <c r="B39" s="1336" t="s">
        <v>610</v>
      </c>
      <c r="C39" s="1337"/>
      <c r="D39" s="1338">
        <v>4559700</v>
      </c>
      <c r="E39" s="1339" t="s">
        <v>594</v>
      </c>
      <c r="F39" s="1339" t="s">
        <v>604</v>
      </c>
      <c r="G39" s="1340" t="s">
        <v>596</v>
      </c>
    </row>
    <row r="40" spans="1:8" ht="26.25">
      <c r="A40" s="1335">
        <v>12</v>
      </c>
      <c r="B40" s="1336" t="s">
        <v>611</v>
      </c>
      <c r="C40" s="1337"/>
      <c r="D40" s="1338">
        <v>740257</v>
      </c>
      <c r="E40" s="1339" t="s">
        <v>594</v>
      </c>
      <c r="F40" s="1339" t="s">
        <v>601</v>
      </c>
      <c r="G40" s="1340" t="s">
        <v>596</v>
      </c>
    </row>
    <row r="41" spans="1:8" ht="26.25">
      <c r="A41" s="1335">
        <v>13</v>
      </c>
      <c r="B41" s="1336" t="s">
        <v>612</v>
      </c>
      <c r="C41" s="1337"/>
      <c r="D41" s="1338">
        <v>2000000</v>
      </c>
      <c r="E41" s="1339" t="s">
        <v>594</v>
      </c>
      <c r="F41" s="1339" t="s">
        <v>613</v>
      </c>
      <c r="G41" s="1340" t="s">
        <v>596</v>
      </c>
    </row>
    <row r="42" spans="1:8" ht="26.25">
      <c r="A42" s="1335">
        <v>14</v>
      </c>
      <c r="B42" s="1336" t="s">
        <v>614</v>
      </c>
      <c r="C42" s="1337"/>
      <c r="D42" s="1338">
        <f>9000000+364728</f>
        <v>9364728</v>
      </c>
      <c r="E42" s="1339" t="s">
        <v>594</v>
      </c>
      <c r="F42" s="1339" t="s">
        <v>613</v>
      </c>
      <c r="G42" s="1340" t="s">
        <v>596</v>
      </c>
    </row>
    <row r="43" spans="1:8" ht="26.25">
      <c r="A43" s="1335">
        <v>15</v>
      </c>
      <c r="B43" s="1336" t="s">
        <v>615</v>
      </c>
      <c r="C43" s="1337"/>
      <c r="D43" s="1338">
        <f>2809428-365951-3000</f>
        <v>2440477</v>
      </c>
      <c r="E43" s="1339" t="s">
        <v>594</v>
      </c>
      <c r="F43" s="1339" t="s">
        <v>601</v>
      </c>
      <c r="G43" s="1340" t="s">
        <v>596</v>
      </c>
    </row>
    <row r="44" spans="1:8" ht="51.75">
      <c r="A44" s="1335">
        <v>16</v>
      </c>
      <c r="B44" s="1336" t="s">
        <v>616</v>
      </c>
      <c r="C44" s="1337"/>
      <c r="D44" s="1338">
        <v>1260000</v>
      </c>
      <c r="E44" s="1339" t="s">
        <v>594</v>
      </c>
      <c r="F44" s="1339" t="s">
        <v>617</v>
      </c>
      <c r="G44" s="1340" t="s">
        <v>596</v>
      </c>
    </row>
    <row r="45" spans="1:8" ht="83.25" thickBot="1">
      <c r="A45" s="1349"/>
      <c r="B45" s="1350" t="s">
        <v>618</v>
      </c>
      <c r="C45" s="1351"/>
      <c r="D45" s="1352">
        <f>SUM(D29:D44)</f>
        <v>25665162</v>
      </c>
      <c r="E45" s="1353"/>
      <c r="F45" s="1353"/>
      <c r="G45" s="1354"/>
    </row>
    <row r="47" spans="1:8" ht="18.75">
      <c r="A47" s="1325" t="s">
        <v>585</v>
      </c>
      <c r="B47" s="1326"/>
      <c r="C47" s="1326"/>
      <c r="D47" s="1326"/>
      <c r="E47" s="1327"/>
      <c r="F47" s="1355"/>
      <c r="G47" s="1356"/>
    </row>
    <row r="48" spans="1:8" ht="15.75" thickBot="1">
      <c r="A48" s="1329" t="s">
        <v>586</v>
      </c>
      <c r="B48" s="1327"/>
      <c r="C48" s="1327"/>
      <c r="D48" s="1327"/>
      <c r="E48" s="1327" t="s">
        <v>619</v>
      </c>
      <c r="F48" s="1357"/>
      <c r="G48" s="1358"/>
      <c r="H48" s="1330"/>
    </row>
    <row r="49" spans="1:8" ht="189">
      <c r="A49" s="1331" t="s">
        <v>7</v>
      </c>
      <c r="B49" s="1332" t="s">
        <v>587</v>
      </c>
      <c r="C49" s="1333" t="s">
        <v>620</v>
      </c>
      <c r="D49" s="1333" t="s">
        <v>621</v>
      </c>
      <c r="E49" s="1359" t="s">
        <v>622</v>
      </c>
      <c r="F49" s="1332" t="s">
        <v>623</v>
      </c>
      <c r="G49" s="1332" t="s">
        <v>624</v>
      </c>
      <c r="H49" s="1360" t="s">
        <v>625</v>
      </c>
    </row>
    <row r="50" spans="1:8" ht="77.25">
      <c r="A50" s="1361">
        <v>1</v>
      </c>
      <c r="B50" s="28" t="s">
        <v>626</v>
      </c>
      <c r="C50" s="1362">
        <v>23123000</v>
      </c>
      <c r="D50" s="1338"/>
      <c r="E50" s="1363">
        <v>18567852</v>
      </c>
      <c r="F50" s="1364" t="s">
        <v>606</v>
      </c>
      <c r="G50" s="1364" t="s">
        <v>627</v>
      </c>
      <c r="H50" s="1365" t="s">
        <v>628</v>
      </c>
    </row>
    <row r="51" spans="1:8" ht="51.75">
      <c r="A51" s="1361">
        <v>2</v>
      </c>
      <c r="B51" s="28" t="s">
        <v>629</v>
      </c>
      <c r="C51" s="1362">
        <v>22094000</v>
      </c>
      <c r="D51" s="1338"/>
      <c r="E51" s="1363">
        <v>22093466</v>
      </c>
      <c r="F51" s="1364" t="s">
        <v>606</v>
      </c>
      <c r="G51" s="1364" t="s">
        <v>630</v>
      </c>
      <c r="H51" s="1365" t="s">
        <v>631</v>
      </c>
    </row>
    <row r="52" spans="1:8" ht="72.75" thickBot="1">
      <c r="A52" s="1366"/>
      <c r="B52" s="1367" t="s">
        <v>618</v>
      </c>
      <c r="C52" s="1351">
        <f>SUM(C50:C51)</f>
        <v>45217000</v>
      </c>
      <c r="D52" s="1368"/>
      <c r="E52" s="1369">
        <f>SUM(E50:E51)</f>
        <v>40661318</v>
      </c>
      <c r="F52" s="1370"/>
      <c r="G52" s="1371"/>
      <c r="H52" s="1372"/>
    </row>
    <row r="53" spans="1:8" ht="39">
      <c r="A53" s="1361">
        <v>1</v>
      </c>
      <c r="B53" s="1336" t="s">
        <v>593</v>
      </c>
      <c r="C53" s="1337"/>
      <c r="D53" s="1373">
        <v>393984</v>
      </c>
      <c r="E53" s="1374">
        <f>128634+48150+217200</f>
        <v>393984</v>
      </c>
      <c r="F53" s="1375" t="s">
        <v>632</v>
      </c>
      <c r="G53" s="1375" t="s">
        <v>594</v>
      </c>
      <c r="H53" s="1376" t="s">
        <v>633</v>
      </c>
    </row>
    <row r="54" spans="1:8" ht="39">
      <c r="A54" s="1361">
        <v>2</v>
      </c>
      <c r="B54" s="1336" t="s">
        <v>634</v>
      </c>
      <c r="C54" s="1337"/>
      <c r="D54" s="1373">
        <v>588000</v>
      </c>
      <c r="E54" s="1363">
        <v>588000</v>
      </c>
      <c r="F54" s="1339" t="s">
        <v>632</v>
      </c>
      <c r="G54" s="1339" t="s">
        <v>594</v>
      </c>
      <c r="H54" s="1340" t="s">
        <v>635</v>
      </c>
    </row>
    <row r="55" spans="1:8" ht="39">
      <c r="A55" s="1361">
        <v>3</v>
      </c>
      <c r="B55" s="1336" t="s">
        <v>602</v>
      </c>
      <c r="C55" s="1337"/>
      <c r="D55" s="1363">
        <f>196638+7800+15860+14710+5050+71880+76800+48600+6200+15500</f>
        <v>459038</v>
      </c>
      <c r="E55" s="1363">
        <f>196638+7800+15860+14710+5050+71880+76800+48600+6200+15500</f>
        <v>459038</v>
      </c>
      <c r="F55" s="1339" t="s">
        <v>632</v>
      </c>
      <c r="G55" s="1339" t="s">
        <v>594</v>
      </c>
      <c r="H55" s="1340" t="s">
        <v>636</v>
      </c>
    </row>
    <row r="56" spans="1:8" ht="39">
      <c r="A56" s="1361">
        <v>4</v>
      </c>
      <c r="B56" s="1342" t="s">
        <v>603</v>
      </c>
      <c r="C56" s="1343"/>
      <c r="D56" s="1373">
        <v>715000</v>
      </c>
      <c r="E56" s="1363">
        <f>267900+247501+31200+73044+27000+66154</f>
        <v>712799</v>
      </c>
      <c r="F56" s="1339" t="s">
        <v>632</v>
      </c>
      <c r="G56" s="1339" t="s">
        <v>594</v>
      </c>
      <c r="H56" s="1340" t="s">
        <v>637</v>
      </c>
    </row>
    <row r="57" spans="1:8" ht="51.75">
      <c r="A57" s="1377">
        <v>5</v>
      </c>
      <c r="B57" s="1336" t="s">
        <v>605</v>
      </c>
      <c r="C57" s="1345"/>
      <c r="D57" s="1378">
        <v>1667477</v>
      </c>
      <c r="E57" s="1363">
        <f>1333778+333699</f>
        <v>1667477</v>
      </c>
      <c r="F57" s="1339" t="s">
        <v>606</v>
      </c>
      <c r="G57" s="1339" t="s">
        <v>594</v>
      </c>
      <c r="H57" s="1340" t="s">
        <v>638</v>
      </c>
    </row>
    <row r="58" spans="1:8" ht="39">
      <c r="A58" s="1361">
        <v>6</v>
      </c>
      <c r="B58" s="1379" t="s">
        <v>607</v>
      </c>
      <c r="C58" s="1380"/>
      <c r="D58" s="1373">
        <v>114000</v>
      </c>
      <c r="E58" s="1363">
        <v>114000</v>
      </c>
      <c r="F58" s="1339" t="s">
        <v>632</v>
      </c>
      <c r="G58" s="1339" t="s">
        <v>594</v>
      </c>
      <c r="H58" s="1340" t="s">
        <v>639</v>
      </c>
    </row>
    <row r="59" spans="1:8" ht="39">
      <c r="A59" s="1361">
        <v>7</v>
      </c>
      <c r="B59" s="1336" t="s">
        <v>608</v>
      </c>
      <c r="C59" s="1345"/>
      <c r="D59" s="1378">
        <v>233149</v>
      </c>
      <c r="E59" s="1381">
        <f>93550+99999+39600</f>
        <v>233149</v>
      </c>
      <c r="F59" s="1339" t="s">
        <v>632</v>
      </c>
      <c r="G59" s="1339" t="s">
        <v>594</v>
      </c>
      <c r="H59" s="1340" t="s">
        <v>640</v>
      </c>
    </row>
    <row r="60" spans="1:8" ht="39">
      <c r="A60" s="1361">
        <v>8</v>
      </c>
      <c r="B60" s="1347" t="s">
        <v>609</v>
      </c>
      <c r="C60" s="1382"/>
      <c r="D60" s="1373">
        <v>235000</v>
      </c>
      <c r="E60" s="1363">
        <v>235000</v>
      </c>
      <c r="F60" s="1339" t="s">
        <v>632</v>
      </c>
      <c r="G60" s="1339" t="s">
        <v>594</v>
      </c>
      <c r="H60" s="1340" t="s">
        <v>641</v>
      </c>
    </row>
    <row r="61" spans="1:8" ht="51.75">
      <c r="A61" s="1377">
        <v>9</v>
      </c>
      <c r="B61" s="1336" t="s">
        <v>610</v>
      </c>
      <c r="C61" s="1345"/>
      <c r="D61" s="1383">
        <v>4856413</v>
      </c>
      <c r="E61" s="1363">
        <v>4856413</v>
      </c>
      <c r="F61" s="1339" t="s">
        <v>642</v>
      </c>
      <c r="G61" s="1339" t="s">
        <v>594</v>
      </c>
      <c r="H61" s="1384" t="s">
        <v>643</v>
      </c>
    </row>
    <row r="62" spans="1:8" ht="39">
      <c r="A62" s="1361">
        <v>10</v>
      </c>
      <c r="B62" s="1379" t="s">
        <v>611</v>
      </c>
      <c r="C62" s="1380"/>
      <c r="D62" s="1373">
        <v>740257</v>
      </c>
      <c r="E62" s="1363">
        <f>740257</f>
        <v>740257</v>
      </c>
      <c r="F62" s="1339" t="s">
        <v>632</v>
      </c>
      <c r="G62" s="1339" t="s">
        <v>594</v>
      </c>
      <c r="H62" s="1340" t="s">
        <v>644</v>
      </c>
    </row>
    <row r="63" spans="1:8" ht="26.25">
      <c r="A63" s="1377">
        <v>11</v>
      </c>
      <c r="B63" s="1336" t="s">
        <v>612</v>
      </c>
      <c r="C63" s="1345"/>
      <c r="D63" s="1383">
        <v>918237</v>
      </c>
      <c r="E63" s="1363">
        <f>269907+11500+70000+116500+49500+16500+33000+3000+78000+57780+1650+58900+29000+13000+60500+44000+5500</f>
        <v>918237</v>
      </c>
      <c r="F63" s="1339" t="s">
        <v>613</v>
      </c>
      <c r="G63" s="1339" t="s">
        <v>594</v>
      </c>
      <c r="H63" s="1340"/>
    </row>
    <row r="64" spans="1:8" ht="26.25">
      <c r="A64" s="1377">
        <v>12</v>
      </c>
      <c r="B64" s="1385" t="s">
        <v>614</v>
      </c>
      <c r="C64" s="1345"/>
      <c r="D64" s="1378">
        <f>36470345+214000-112970+17904+124582+148778+65432</f>
        <v>36928071</v>
      </c>
      <c r="E64" s="1363">
        <f>21565390+413016+722960+1086208+901600+1315756+328260+1120725+899640+1310975+1434145+1470200+112100+1491840+1106532+1303098+54648+17993+60976</f>
        <v>36716062</v>
      </c>
      <c r="F64" s="1339" t="s">
        <v>613</v>
      </c>
      <c r="G64" s="1339" t="s">
        <v>594</v>
      </c>
      <c r="H64" s="1340" t="s">
        <v>644</v>
      </c>
    </row>
    <row r="65" spans="1:20" ht="51.75">
      <c r="A65" s="1361">
        <v>13</v>
      </c>
      <c r="B65" s="1336" t="s">
        <v>615</v>
      </c>
      <c r="C65" s="1345"/>
      <c r="D65" s="1363">
        <v>3029963</v>
      </c>
      <c r="E65" s="1363">
        <f>3095395-65432</f>
        <v>3029963</v>
      </c>
      <c r="F65" s="1339" t="s">
        <v>632</v>
      </c>
      <c r="G65" s="1339" t="s">
        <v>594</v>
      </c>
      <c r="H65" s="1340" t="s">
        <v>645</v>
      </c>
    </row>
    <row r="66" spans="1:20" ht="39">
      <c r="A66" s="1386">
        <v>14</v>
      </c>
      <c r="B66" s="1336" t="s">
        <v>616</v>
      </c>
      <c r="C66" s="1387"/>
      <c r="D66" s="1378">
        <v>832000</v>
      </c>
      <c r="E66" s="1363">
        <f>378000+42000+189000+34000+189000</f>
        <v>832000</v>
      </c>
      <c r="F66" s="1339" t="s">
        <v>646</v>
      </c>
      <c r="G66" s="1339" t="s">
        <v>594</v>
      </c>
      <c r="H66" s="1340"/>
    </row>
    <row r="67" spans="1:20" ht="72.75" thickBot="1">
      <c r="A67" s="1388"/>
      <c r="B67" s="1389" t="s">
        <v>618</v>
      </c>
      <c r="C67" s="1390"/>
      <c r="D67" s="1391">
        <f>SUM(D53:D66)</f>
        <v>51710589</v>
      </c>
      <c r="E67" s="1392">
        <f>SUM(E53:E66)</f>
        <v>51496379</v>
      </c>
      <c r="F67" s="1393"/>
      <c r="G67" s="1393"/>
      <c r="H67" s="1394"/>
    </row>
    <row r="68" spans="1:20" ht="83.25" thickBot="1">
      <c r="A68" s="1395"/>
      <c r="B68" s="1396" t="s">
        <v>79</v>
      </c>
      <c r="C68" s="1397">
        <f t="shared" ref="C68:D68" si="0">SUM(C67+C52)</f>
        <v>45217000</v>
      </c>
      <c r="D68" s="1398">
        <f t="shared" si="0"/>
        <v>51710589</v>
      </c>
      <c r="E68" s="1399">
        <f>SUM(E67+E52)</f>
        <v>92157697</v>
      </c>
      <c r="F68" s="1400"/>
      <c r="G68" s="1401"/>
      <c r="H68" s="1402"/>
    </row>
    <row r="70" spans="1:20">
      <c r="A70" s="1291"/>
      <c r="F70" s="136"/>
      <c r="H70" s="196"/>
      <c r="I70" s="1403"/>
      <c r="M70" s="1404"/>
    </row>
    <row r="71" spans="1:20">
      <c r="A71" s="1291"/>
      <c r="F71" s="136"/>
      <c r="H71" s="196"/>
      <c r="M71" s="1289"/>
    </row>
    <row r="72" spans="1:20" ht="15">
      <c r="A72" s="2562" t="s">
        <v>647</v>
      </c>
      <c r="B72" s="2562"/>
      <c r="C72" s="2562"/>
      <c r="D72" s="2562"/>
      <c r="E72" s="2562"/>
      <c r="F72" s="2562"/>
      <c r="G72" s="2562"/>
      <c r="H72" s="2562"/>
      <c r="I72" s="2562"/>
      <c r="J72" s="2562"/>
      <c r="K72" s="2562"/>
      <c r="L72" s="2562"/>
      <c r="M72" s="2562"/>
      <c r="N72" s="2562"/>
      <c r="O72" s="2562"/>
      <c r="P72" s="2562"/>
      <c r="Q72" s="2562"/>
      <c r="R72" s="1293"/>
      <c r="S72" s="1293"/>
      <c r="T72" s="1293"/>
    </row>
    <row r="73" spans="1:20">
      <c r="A73" s="1291"/>
      <c r="B73" s="1289"/>
      <c r="C73" s="1289"/>
      <c r="D73" s="1289"/>
      <c r="E73" s="1289"/>
      <c r="F73" s="1292"/>
      <c r="G73" s="1289"/>
      <c r="H73" s="1290"/>
      <c r="I73" s="1289"/>
      <c r="J73" s="1289"/>
      <c r="K73" s="1289"/>
      <c r="L73" s="1289"/>
      <c r="M73" s="1289"/>
      <c r="N73" s="1289"/>
      <c r="O73" s="1289"/>
      <c r="P73" s="1289"/>
      <c r="Q73" s="1289"/>
      <c r="R73" s="1289"/>
      <c r="S73" s="1289"/>
      <c r="T73" s="1289"/>
    </row>
    <row r="74" spans="1:20">
      <c r="A74" s="1294"/>
      <c r="B74" s="1295"/>
      <c r="C74" s="1295"/>
      <c r="D74" s="1295"/>
      <c r="E74" s="1295"/>
      <c r="F74" s="1296"/>
      <c r="G74" s="2563" t="s">
        <v>648</v>
      </c>
      <c r="H74" s="2564"/>
      <c r="I74" s="2564"/>
      <c r="J74" s="2564"/>
      <c r="K74" s="2565"/>
      <c r="L74" s="1295"/>
      <c r="M74" s="1297"/>
      <c r="N74" s="1295"/>
      <c r="O74" s="1295"/>
      <c r="P74" s="1295"/>
      <c r="Q74" s="1295"/>
      <c r="R74" s="1295"/>
      <c r="S74" s="1295"/>
      <c r="T74" s="1295"/>
    </row>
    <row r="75" spans="1:20">
      <c r="A75" s="1298" t="s">
        <v>563</v>
      </c>
      <c r="B75" s="1298" t="s">
        <v>3</v>
      </c>
      <c r="C75" s="1298" t="s">
        <v>564</v>
      </c>
      <c r="D75" s="1298" t="s">
        <v>5</v>
      </c>
      <c r="E75" s="1298" t="s">
        <v>565</v>
      </c>
      <c r="F75" s="1299" t="s">
        <v>6</v>
      </c>
      <c r="G75" s="1300" t="s">
        <v>566</v>
      </c>
      <c r="H75" s="1301" t="s">
        <v>567</v>
      </c>
      <c r="I75" s="1298" t="s">
        <v>568</v>
      </c>
      <c r="J75" s="1302" t="s">
        <v>569</v>
      </c>
      <c r="K75" s="1298" t="s">
        <v>570</v>
      </c>
      <c r="L75" s="1302">
        <v>604</v>
      </c>
      <c r="M75" s="1298" t="s">
        <v>571</v>
      </c>
      <c r="N75" s="1302" t="s">
        <v>649</v>
      </c>
      <c r="O75" s="1405" t="s">
        <v>650</v>
      </c>
      <c r="P75" s="1298" t="s">
        <v>651</v>
      </c>
      <c r="Q75" s="1298" t="s">
        <v>574</v>
      </c>
      <c r="R75" s="1298" t="s">
        <v>575</v>
      </c>
      <c r="S75" s="2560" t="s">
        <v>576</v>
      </c>
      <c r="T75" s="2560"/>
    </row>
    <row r="76" spans="1:20">
      <c r="A76" s="1298"/>
      <c r="B76" s="1298"/>
      <c r="C76" s="1298"/>
      <c r="D76" s="1298"/>
      <c r="E76" s="1298"/>
      <c r="F76" s="1299"/>
      <c r="G76" s="1298" t="s">
        <v>410</v>
      </c>
      <c r="H76" s="1303" t="s">
        <v>410</v>
      </c>
      <c r="I76" s="1298"/>
      <c r="J76" s="1298"/>
      <c r="K76" s="1298"/>
      <c r="L76" s="1298"/>
      <c r="M76" s="1298" t="s">
        <v>577</v>
      </c>
      <c r="N76" s="1298" t="s">
        <v>578</v>
      </c>
      <c r="O76" s="1298"/>
      <c r="P76" s="1298" t="s">
        <v>579</v>
      </c>
      <c r="Q76" s="1298" t="s">
        <v>580</v>
      </c>
      <c r="R76" s="1298" t="s">
        <v>581</v>
      </c>
      <c r="S76" s="1298" t="s">
        <v>582</v>
      </c>
      <c r="T76" s="1298" t="s">
        <v>583</v>
      </c>
    </row>
    <row r="77" spans="1:20">
      <c r="A77" s="1304">
        <v>1025097</v>
      </c>
      <c r="B77" s="1305">
        <v>16</v>
      </c>
      <c r="C77" s="1305">
        <v>10430</v>
      </c>
      <c r="D77" s="1295">
        <v>1</v>
      </c>
      <c r="E77" s="1295"/>
      <c r="F77" s="1296">
        <v>230</v>
      </c>
      <c r="G77" s="1295"/>
      <c r="H77" s="1306"/>
      <c r="I77" s="1297">
        <v>0</v>
      </c>
      <c r="J77" s="1295"/>
      <c r="K77" s="1307"/>
      <c r="L77" s="1307"/>
      <c r="M77" s="1295"/>
      <c r="N77" s="1295"/>
      <c r="O77" s="1295"/>
      <c r="P77" s="1295"/>
      <c r="Q77" s="1295"/>
      <c r="R77" s="1295"/>
      <c r="S77" s="1295">
        <v>46</v>
      </c>
      <c r="T77" s="1295">
        <v>42</v>
      </c>
    </row>
    <row r="78" spans="1:20">
      <c r="A78" s="1304">
        <v>1025097</v>
      </c>
      <c r="B78" s="1305">
        <v>16</v>
      </c>
      <c r="C78" s="1305">
        <v>10430</v>
      </c>
      <c r="D78" s="1295">
        <v>1</v>
      </c>
      <c r="E78" s="1295"/>
      <c r="F78" s="1296">
        <v>231</v>
      </c>
      <c r="G78" s="1295">
        <f>45217</f>
        <v>45217</v>
      </c>
      <c r="H78" s="1306"/>
      <c r="I78" s="1295">
        <f>3933564+2460432+2733120+15671160+6422306+279720+1336800+4941720+89388+13116+2779992</f>
        <v>40661318</v>
      </c>
      <c r="J78" s="1295"/>
      <c r="K78" s="1295" t="s">
        <v>584</v>
      </c>
      <c r="L78" s="1307"/>
      <c r="M78" s="1295"/>
      <c r="N78" s="1295"/>
      <c r="O78" s="1295"/>
      <c r="P78" s="1295"/>
      <c r="Q78" s="1295">
        <f>I78</f>
        <v>40661318</v>
      </c>
      <c r="R78" s="1295"/>
      <c r="S78" s="1295"/>
      <c r="T78" s="1295"/>
    </row>
    <row r="79" spans="1:20">
      <c r="A79" s="1304">
        <v>1025097</v>
      </c>
      <c r="B79" s="1305">
        <v>16</v>
      </c>
      <c r="C79" s="1305">
        <v>10430</v>
      </c>
      <c r="D79" s="1295">
        <v>1</v>
      </c>
      <c r="E79" s="1295"/>
      <c r="F79" s="1308">
        <v>2319999</v>
      </c>
      <c r="G79" s="1295"/>
      <c r="H79" s="1306"/>
      <c r="I79" s="1297"/>
      <c r="J79" s="1295"/>
      <c r="K79" s="1307"/>
      <c r="L79" s="1307"/>
      <c r="M79" s="1295"/>
      <c r="N79" s="1295"/>
      <c r="O79" s="1295"/>
      <c r="P79" s="1295"/>
      <c r="Q79" s="1295"/>
      <c r="R79" s="1295"/>
      <c r="S79" s="1295"/>
      <c r="T79" s="1295"/>
    </row>
    <row r="80" spans="1:20">
      <c r="A80" s="1304">
        <v>1025097</v>
      </c>
      <c r="B80" s="1305">
        <v>16</v>
      </c>
      <c r="C80" s="1305">
        <v>10430</v>
      </c>
      <c r="D80" s="1295">
        <v>1</v>
      </c>
      <c r="E80" s="1295"/>
      <c r="F80" s="1296">
        <v>600</v>
      </c>
      <c r="G80" s="1295">
        <f>34500</f>
        <v>34500</v>
      </c>
      <c r="H80" s="1306">
        <v>2555</v>
      </c>
      <c r="I80" s="1406">
        <f>I47+1843814+314616+6528+461034</f>
        <v>2625992</v>
      </c>
      <c r="J80" s="1295"/>
      <c r="K80" s="1307"/>
      <c r="L80" s="1307"/>
      <c r="M80" s="1295">
        <f>4424467+492009+471136+461034</f>
        <v>5848646</v>
      </c>
      <c r="N80" s="1295"/>
      <c r="O80" s="1295"/>
      <c r="P80" s="1295"/>
      <c r="Q80" s="1295">
        <f>I80-M80</f>
        <v>-3222654</v>
      </c>
      <c r="R80" s="1295"/>
      <c r="S80" s="1295"/>
      <c r="T80" s="1295"/>
    </row>
    <row r="81" spans="1:20">
      <c r="A81" s="1304">
        <v>1025097</v>
      </c>
      <c r="B81" s="1305">
        <v>16</v>
      </c>
      <c r="C81" s="1305">
        <v>10430</v>
      </c>
      <c r="D81" s="1295">
        <v>1</v>
      </c>
      <c r="E81" s="1295"/>
      <c r="F81" s="1296">
        <v>601</v>
      </c>
      <c r="G81" s="1295">
        <v>5850</v>
      </c>
      <c r="H81" s="1306">
        <v>480.2</v>
      </c>
      <c r="I81" s="1295">
        <f>I48+423814</f>
        <v>423814</v>
      </c>
      <c r="J81" s="1295"/>
      <c r="K81" s="1309"/>
      <c r="L81" s="1309"/>
      <c r="M81" s="1295">
        <f>I81</f>
        <v>423814</v>
      </c>
      <c r="N81" s="1295"/>
      <c r="O81" s="1295"/>
      <c r="P81" s="1295"/>
      <c r="Q81" s="1295">
        <v>0</v>
      </c>
      <c r="R81" s="1295"/>
      <c r="S81" s="1295"/>
      <c r="T81" s="1295"/>
    </row>
    <row r="82" spans="1:20">
      <c r="A82" s="1310"/>
      <c r="B82" s="1311">
        <v>16</v>
      </c>
      <c r="C82" s="1311">
        <v>10430</v>
      </c>
      <c r="D82" s="1312">
        <v>1</v>
      </c>
      <c r="E82" s="1312"/>
      <c r="F82" s="1313">
        <v>6009999</v>
      </c>
      <c r="G82" s="1314">
        <f>SUM(G80:G81)</f>
        <v>40350</v>
      </c>
      <c r="H82" s="1315">
        <f>SUM(H80:H81)</f>
        <v>3035.2</v>
      </c>
      <c r="I82" s="1316">
        <f>SUM(I80:I81)</f>
        <v>3049806</v>
      </c>
      <c r="J82" s="1312"/>
      <c r="K82" s="1317"/>
      <c r="L82" s="1317"/>
      <c r="M82" s="1312">
        <f>SUM(M80:M81)</f>
        <v>6272460</v>
      </c>
      <c r="N82" s="1312"/>
      <c r="O82" s="1312"/>
      <c r="P82" s="1312"/>
      <c r="Q82" s="1312">
        <f>I82-M82</f>
        <v>-3222654</v>
      </c>
      <c r="R82" s="1312"/>
      <c r="S82" s="1312"/>
      <c r="T82" s="1312"/>
    </row>
    <row r="83" spans="1:20">
      <c r="A83" s="1304">
        <v>1025097</v>
      </c>
      <c r="B83" s="1305">
        <v>16</v>
      </c>
      <c r="C83" s="1305">
        <v>10430</v>
      </c>
      <c r="D83" s="1295">
        <v>1</v>
      </c>
      <c r="E83" s="1295"/>
      <c r="F83" s="1308">
        <v>602</v>
      </c>
      <c r="G83" s="1295">
        <v>51700</v>
      </c>
      <c r="H83" s="1306">
        <v>1200</v>
      </c>
      <c r="I83" s="1295">
        <f>I50+1458172</f>
        <v>1458172</v>
      </c>
      <c r="J83" s="1295"/>
      <c r="K83" s="1307"/>
      <c r="L83" s="1307"/>
      <c r="M83" s="1295">
        <f>63192+6000+1+21000</f>
        <v>90193</v>
      </c>
      <c r="N83" s="1295">
        <f>3000+3000+4800</f>
        <v>10800</v>
      </c>
      <c r="O83" s="1295">
        <v>60986</v>
      </c>
      <c r="P83" s="1295">
        <v>3073157</v>
      </c>
      <c r="Q83" s="1295">
        <f>I83-M83-N83-P83+3073157</f>
        <v>1357179</v>
      </c>
      <c r="R83" s="1295"/>
      <c r="S83" s="1295"/>
      <c r="T83" s="1295"/>
    </row>
    <row r="84" spans="1:20">
      <c r="A84" s="1304">
        <v>1025097</v>
      </c>
      <c r="B84" s="1305">
        <v>16</v>
      </c>
      <c r="C84" s="1305">
        <v>10430</v>
      </c>
      <c r="D84" s="1295">
        <v>1</v>
      </c>
      <c r="E84" s="1295"/>
      <c r="F84" s="1296">
        <v>603</v>
      </c>
      <c r="G84" s="1296"/>
      <c r="H84" s="1306"/>
      <c r="I84" s="1297"/>
      <c r="J84" s="1295"/>
      <c r="K84" s="1307"/>
      <c r="L84" s="1307"/>
      <c r="M84" s="1295"/>
      <c r="N84" s="1295"/>
      <c r="O84" s="1295"/>
      <c r="P84" s="1295"/>
      <c r="Q84" s="1295">
        <f>I84+J84-K84-L84+M84</f>
        <v>0</v>
      </c>
      <c r="R84" s="1295"/>
      <c r="S84" s="1295"/>
      <c r="T84" s="1295"/>
    </row>
    <row r="85" spans="1:20">
      <c r="A85" s="1304">
        <v>1025097</v>
      </c>
      <c r="B85" s="1305">
        <v>16</v>
      </c>
      <c r="C85" s="1305">
        <v>10430</v>
      </c>
      <c r="D85" s="1295">
        <v>1</v>
      </c>
      <c r="E85" s="1295"/>
      <c r="F85" s="1318">
        <v>604</v>
      </c>
      <c r="G85" s="1295"/>
      <c r="H85" s="1306"/>
      <c r="I85" s="1297"/>
      <c r="J85" s="1295"/>
      <c r="K85" s="1307"/>
      <c r="L85" s="1307"/>
      <c r="M85" s="1295"/>
      <c r="N85" s="1295"/>
      <c r="O85" s="1295"/>
      <c r="P85" s="1295"/>
      <c r="Q85" s="1295">
        <f>I85+J85-K85-L85+M85</f>
        <v>0</v>
      </c>
      <c r="R85" s="1295"/>
      <c r="S85" s="1295"/>
      <c r="T85" s="1295"/>
    </row>
    <row r="86" spans="1:20">
      <c r="A86" s="1304">
        <v>1025097</v>
      </c>
      <c r="B86" s="1305">
        <v>16</v>
      </c>
      <c r="C86" s="1305">
        <v>10430</v>
      </c>
      <c r="D86" s="1295">
        <v>1</v>
      </c>
      <c r="E86" s="1295"/>
      <c r="F86" s="1318">
        <v>605</v>
      </c>
      <c r="G86" s="1295"/>
      <c r="H86" s="1306"/>
      <c r="I86" s="1297"/>
      <c r="J86" s="1295"/>
      <c r="K86" s="1307"/>
      <c r="L86" s="1307"/>
      <c r="M86" s="1295"/>
      <c r="N86" s="1295"/>
      <c r="O86" s="1295"/>
      <c r="P86" s="1295"/>
      <c r="Q86" s="1295">
        <f>I86+J86-K86-L86+M86</f>
        <v>0</v>
      </c>
      <c r="R86" s="1295"/>
      <c r="S86" s="1295"/>
      <c r="T86" s="1295"/>
    </row>
    <row r="87" spans="1:20">
      <c r="A87" s="1304">
        <v>1025097</v>
      </c>
      <c r="B87" s="1305">
        <v>16</v>
      </c>
      <c r="C87" s="1305">
        <v>10430</v>
      </c>
      <c r="D87" s="1295">
        <v>1</v>
      </c>
      <c r="E87" s="1295"/>
      <c r="F87" s="1296">
        <v>606</v>
      </c>
      <c r="G87" s="1295">
        <v>1334838</v>
      </c>
      <c r="H87" s="1306"/>
      <c r="I87" s="1295">
        <v>1201354</v>
      </c>
      <c r="J87" s="1295"/>
      <c r="K87" s="1307"/>
      <c r="L87" s="1307"/>
      <c r="M87" s="1295"/>
      <c r="N87" s="1295"/>
      <c r="O87" s="1295"/>
      <c r="P87" s="1295"/>
      <c r="Q87" s="1295">
        <f>I87+J87-K87-L87+M87</f>
        <v>1201354</v>
      </c>
      <c r="R87" s="1295"/>
      <c r="S87" s="1295"/>
      <c r="T87" s="1295"/>
    </row>
    <row r="88" spans="1:20">
      <c r="A88" s="1310"/>
      <c r="B88" s="1311">
        <v>16</v>
      </c>
      <c r="C88" s="1311">
        <v>10430</v>
      </c>
      <c r="D88" s="1312">
        <v>1</v>
      </c>
      <c r="E88" s="1312"/>
      <c r="F88" s="1313">
        <v>6029999</v>
      </c>
      <c r="G88" s="1316">
        <f>SUM(G83:G87)</f>
        <v>1386538</v>
      </c>
      <c r="H88" s="1306">
        <v>15000</v>
      </c>
      <c r="I88" s="1316">
        <f>SUM(I83:I87)</f>
        <v>2659526</v>
      </c>
      <c r="J88" s="1316">
        <f>SUM(J83:J87)</f>
        <v>0</v>
      </c>
      <c r="K88" s="1316">
        <v>0</v>
      </c>
      <c r="L88" s="1316">
        <f>SUM(L83:L87)</f>
        <v>0</v>
      </c>
      <c r="M88" s="1316">
        <f>SUM(M83:M87)</f>
        <v>90193</v>
      </c>
      <c r="N88" s="1316">
        <f>SUM(N83:N87)</f>
        <v>10800</v>
      </c>
      <c r="O88" s="1316"/>
      <c r="P88" s="1316">
        <f>SUM(P83:P87)</f>
        <v>3073157</v>
      </c>
      <c r="Q88" s="1316">
        <f>SUM(Q83:Q87)</f>
        <v>2558533</v>
      </c>
      <c r="R88" s="1312"/>
      <c r="S88" s="1312"/>
      <c r="T88" s="1312"/>
    </row>
    <row r="89" spans="1:20">
      <c r="A89" s="1304">
        <v>1025097</v>
      </c>
      <c r="B89" s="1305">
        <v>16</v>
      </c>
      <c r="C89" s="1305">
        <v>10430</v>
      </c>
      <c r="D89" s="1295">
        <v>6</v>
      </c>
      <c r="E89" s="1295"/>
      <c r="F89" s="1296">
        <v>600</v>
      </c>
      <c r="G89" s="1295">
        <f>I89</f>
        <v>1871333</v>
      </c>
      <c r="H89" s="1306">
        <v>1457.5</v>
      </c>
      <c r="I89" s="1295">
        <f>1470296+129890+22533+129890+22534+83194+12996</f>
        <v>1871333</v>
      </c>
      <c r="J89" s="1295"/>
      <c r="K89" s="1309"/>
      <c r="L89" s="1309"/>
      <c r="M89" s="1295">
        <f>225721+22533+22534+12996</f>
        <v>283784</v>
      </c>
      <c r="N89" s="1295"/>
      <c r="O89" s="1295"/>
      <c r="P89" s="1295"/>
      <c r="Q89" s="1295">
        <f>I89-M89</f>
        <v>1587549</v>
      </c>
      <c r="R89" s="1295"/>
      <c r="S89" s="1295"/>
      <c r="T89" s="1295"/>
    </row>
    <row r="90" spans="1:20">
      <c r="A90" s="1304">
        <v>1025097</v>
      </c>
      <c r="B90" s="1305">
        <v>16</v>
      </c>
      <c r="C90" s="1305">
        <v>10430</v>
      </c>
      <c r="D90" s="1295">
        <v>6</v>
      </c>
      <c r="E90" s="1295"/>
      <c r="F90" s="1296">
        <v>601</v>
      </c>
      <c r="G90" s="1295">
        <f>I90</f>
        <v>308534</v>
      </c>
      <c r="H90" s="1306">
        <v>278.3</v>
      </c>
      <c r="I90" s="1295">
        <f>69790+19015+16+25457+25456+25456+25456+25456+25456+25456+25456+16064</f>
        <v>308534</v>
      </c>
      <c r="J90" s="1295"/>
      <c r="K90" s="1309"/>
      <c r="L90" s="1309"/>
      <c r="M90" s="1295">
        <f>241545+25456+25456+16064</f>
        <v>308521</v>
      </c>
      <c r="N90" s="1295"/>
      <c r="O90" s="1295"/>
      <c r="P90" s="1295"/>
      <c r="Q90" s="1295">
        <v>0</v>
      </c>
      <c r="R90" s="1295"/>
      <c r="S90" s="1295"/>
      <c r="T90" s="1295"/>
    </row>
    <row r="91" spans="1:20">
      <c r="A91" s="1304">
        <v>1025097</v>
      </c>
      <c r="B91" s="1305">
        <v>16</v>
      </c>
      <c r="C91" s="1305">
        <v>10430</v>
      </c>
      <c r="D91" s="1295">
        <v>6</v>
      </c>
      <c r="E91" s="1295"/>
      <c r="F91" s="1296">
        <v>602</v>
      </c>
      <c r="G91" s="1295">
        <f>164479+68500</f>
        <v>232979</v>
      </c>
      <c r="H91" s="1306">
        <v>95.9</v>
      </c>
      <c r="I91" s="1295">
        <f>5920+11000+1500+1500+1500+1500+1500+27000+1500+107356</f>
        <v>160276</v>
      </c>
      <c r="J91" s="1295"/>
      <c r="K91" s="1309"/>
      <c r="L91" s="1309"/>
      <c r="M91" s="1295">
        <v>0</v>
      </c>
      <c r="N91" s="1295"/>
      <c r="O91" s="1295"/>
      <c r="P91" s="1295"/>
      <c r="Q91" s="1295">
        <f>I91+J91-K91-L91+M91</f>
        <v>160276</v>
      </c>
      <c r="R91" s="1295"/>
      <c r="S91" s="1295"/>
      <c r="T91" s="1295"/>
    </row>
    <row r="92" spans="1:20">
      <c r="A92" s="1304">
        <v>1025097</v>
      </c>
      <c r="B92" s="1311">
        <v>16</v>
      </c>
      <c r="C92" s="1311">
        <v>10430</v>
      </c>
      <c r="D92" s="1312">
        <v>6</v>
      </c>
      <c r="E92" s="1295"/>
      <c r="F92" s="1296">
        <v>0</v>
      </c>
      <c r="G92" s="1295">
        <v>0</v>
      </c>
      <c r="H92" s="1306"/>
      <c r="I92" s="1312"/>
      <c r="J92" s="1295"/>
      <c r="K92" s="1309"/>
      <c r="L92" s="1309"/>
      <c r="M92" s="1312">
        <f>SUM(M89:M91)</f>
        <v>592305</v>
      </c>
      <c r="N92" s="1295"/>
      <c r="O92" s="1295"/>
      <c r="P92" s="1295"/>
      <c r="Q92" s="1312">
        <f>I92+J92-K92-L92+M92</f>
        <v>592305</v>
      </c>
      <c r="R92" s="1295"/>
      <c r="S92" s="1295"/>
      <c r="T92" s="1295"/>
    </row>
    <row r="93" spans="1:20">
      <c r="A93" s="1304">
        <v>1025097</v>
      </c>
      <c r="B93" s="1305">
        <v>16</v>
      </c>
      <c r="C93" s="1305">
        <v>10430</v>
      </c>
      <c r="D93" s="1295">
        <v>6</v>
      </c>
      <c r="E93" s="1295"/>
      <c r="F93" s="1296">
        <v>231</v>
      </c>
      <c r="G93" s="1295">
        <v>985157</v>
      </c>
      <c r="H93" s="1306">
        <v>985</v>
      </c>
      <c r="I93" s="1312">
        <f>974400+10757</f>
        <v>985157</v>
      </c>
      <c r="J93" s="1295"/>
      <c r="K93" s="1309"/>
      <c r="L93" s="1309"/>
      <c r="M93" s="1295"/>
      <c r="N93" s="1295"/>
      <c r="O93" s="1295"/>
      <c r="P93" s="1295"/>
      <c r="Q93" s="1312"/>
      <c r="R93" s="1295"/>
      <c r="S93" s="1295"/>
      <c r="T93" s="1295"/>
    </row>
    <row r="94" spans="1:20">
      <c r="A94" s="1304"/>
      <c r="B94" s="1311">
        <v>16</v>
      </c>
      <c r="C94" s="1311">
        <v>10430</v>
      </c>
      <c r="D94" s="1312">
        <v>6</v>
      </c>
      <c r="E94" s="1295"/>
      <c r="F94" s="1313">
        <v>2319999</v>
      </c>
      <c r="G94" s="1312">
        <v>985157</v>
      </c>
      <c r="H94" s="1306"/>
      <c r="I94" s="1312">
        <f>974400+10757</f>
        <v>985157</v>
      </c>
      <c r="J94" s="1295"/>
      <c r="K94" s="1309"/>
      <c r="L94" s="1309"/>
      <c r="M94" s="1295"/>
      <c r="N94" s="1295"/>
      <c r="O94" s="1295"/>
      <c r="P94" s="1295"/>
      <c r="Q94" s="1312">
        <f>I94+J94-K94-L94+M94</f>
        <v>985157</v>
      </c>
      <c r="R94" s="1295"/>
      <c r="S94" s="1295"/>
      <c r="T94" s="1295"/>
    </row>
    <row r="95" spans="1:20">
      <c r="A95" s="1320"/>
      <c r="B95" s="1320"/>
      <c r="C95" s="1320"/>
      <c r="D95" s="1320"/>
      <c r="E95" s="1320"/>
      <c r="F95" s="1321" t="s">
        <v>82</v>
      </c>
      <c r="G95" s="1407"/>
      <c r="H95" s="1408"/>
      <c r="I95" s="1407">
        <f>I78+I82+I88+I89+I90+I91+I94-1</f>
        <v>49695949</v>
      </c>
      <c r="J95" s="1407">
        <f>SUM(J77:J91)</f>
        <v>0</v>
      </c>
      <c r="K95" s="1407">
        <v>0</v>
      </c>
      <c r="L95" s="1407">
        <f>SUM(L77:L91)</f>
        <v>0</v>
      </c>
      <c r="M95" s="1407">
        <f>M82+M83+M89+M90</f>
        <v>6954958</v>
      </c>
      <c r="N95" s="1407">
        <f>N88</f>
        <v>10800</v>
      </c>
      <c r="O95" s="1407">
        <f>SUM(O83:O94)</f>
        <v>60986</v>
      </c>
      <c r="P95" s="1409">
        <f>SUM(P88:P92)</f>
        <v>3073157</v>
      </c>
      <c r="Q95" s="1407">
        <f>Q78+Q82+Q88+Q89+Q90+Q91+Q94+P95+15-2-60977</f>
        <v>45742372</v>
      </c>
      <c r="R95" s="1407"/>
      <c r="S95" s="1407"/>
      <c r="T95" s="1407"/>
    </row>
    <row r="96" spans="1:20">
      <c r="A96" s="1410"/>
      <c r="B96" s="1411"/>
      <c r="C96" s="1411"/>
      <c r="D96" s="1411"/>
      <c r="E96" s="1411"/>
      <c r="F96" s="1412"/>
      <c r="G96" s="1413"/>
      <c r="H96" s="1414"/>
      <c r="I96" s="1413"/>
      <c r="J96" s="1413"/>
      <c r="K96" s="1415"/>
      <c r="L96" s="1415"/>
      <c r="M96" s="1411"/>
      <c r="N96" s="1411"/>
      <c r="O96" s="1411"/>
      <c r="P96" s="1411"/>
      <c r="Q96" s="1411"/>
      <c r="R96" s="1411"/>
      <c r="S96" s="1411"/>
      <c r="T96" s="1411"/>
    </row>
  </sheetData>
  <mergeCells count="7">
    <mergeCell ref="S75:T75"/>
    <mergeCell ref="A1:D1"/>
    <mergeCell ref="A11:D11"/>
    <mergeCell ref="E13:H13"/>
    <mergeCell ref="B30:C30"/>
    <mergeCell ref="A72:Q72"/>
    <mergeCell ref="G74:K7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9"/>
  <sheetViews>
    <sheetView topLeftCell="A760" workbookViewId="0">
      <selection activeCell="Q741" sqref="Q741"/>
    </sheetView>
  </sheetViews>
  <sheetFormatPr defaultRowHeight="12.75"/>
  <cols>
    <col min="1" max="1" width="2.42578125" customWidth="1"/>
    <col min="2" max="2" width="3.85546875" customWidth="1"/>
    <col min="3" max="3" width="4.5703125" customWidth="1"/>
    <col min="4" max="4" width="3.7109375" customWidth="1"/>
    <col min="5" max="5" width="5.5703125" customWidth="1"/>
    <col min="6" max="6" width="5.7109375" customWidth="1"/>
    <col min="7" max="7" width="15.85546875" customWidth="1"/>
    <col min="8" max="8" width="6.7109375" customWidth="1"/>
    <col min="9" max="9" width="6.42578125" customWidth="1"/>
    <col min="10" max="10" width="4.28515625" customWidth="1"/>
    <col min="11" max="11" width="24.7109375" customWidth="1"/>
    <col min="12" max="12" width="5.42578125" customWidth="1"/>
    <col min="13" max="13" width="7.140625" customWidth="1"/>
    <col min="14" max="14" width="1.28515625" customWidth="1"/>
    <col min="15" max="15" width="17.42578125" customWidth="1"/>
    <col min="16" max="16" width="13" customWidth="1"/>
    <col min="17" max="17" width="24.7109375" customWidth="1"/>
    <col min="18" max="18" width="23.28515625" customWidth="1"/>
    <col min="19" max="19" width="15" customWidth="1"/>
    <col min="20" max="20" width="24.7109375" customWidth="1"/>
    <col min="21" max="21" width="14" customWidth="1"/>
  </cols>
  <sheetData>
    <row r="1" spans="1:17" ht="23.25">
      <c r="A1" s="2593" t="s">
        <v>652</v>
      </c>
      <c r="B1" s="2593"/>
      <c r="C1" s="2593"/>
      <c r="D1" s="2593"/>
      <c r="E1" s="2593"/>
      <c r="F1" s="2593"/>
      <c r="G1" s="2593"/>
      <c r="H1" s="2593"/>
      <c r="I1" s="1416"/>
      <c r="J1" s="1417"/>
      <c r="K1" s="1417"/>
      <c r="L1" s="1417"/>
      <c r="M1" s="1418"/>
      <c r="N1" s="1418"/>
      <c r="O1" s="1418"/>
      <c r="P1" s="1418"/>
      <c r="Q1" s="1418"/>
    </row>
    <row r="2" spans="1:17" ht="14.25">
      <c r="A2" s="1419"/>
      <c r="B2" s="1420"/>
      <c r="C2" s="1419"/>
      <c r="D2" s="1419"/>
      <c r="E2" s="1419"/>
      <c r="F2" s="1419"/>
      <c r="G2" s="1421"/>
      <c r="H2" s="1416"/>
      <c r="I2" s="1416"/>
      <c r="J2" s="1417"/>
      <c r="K2" s="1417"/>
      <c r="L2" s="1417"/>
      <c r="M2" s="1418"/>
      <c r="N2" s="1418"/>
      <c r="O2" s="1418"/>
      <c r="P2" s="1418"/>
      <c r="Q2" s="1418"/>
    </row>
    <row r="3" spans="1:17" ht="15">
      <c r="A3" s="2595" t="s">
        <v>653</v>
      </c>
      <c r="B3" s="2595"/>
      <c r="C3" s="2595"/>
      <c r="D3" s="1419"/>
      <c r="E3" s="1422" t="s">
        <v>654</v>
      </c>
      <c r="F3" s="1419"/>
      <c r="G3" s="1421"/>
      <c r="H3" s="1416"/>
      <c r="I3" s="1416"/>
      <c r="J3" s="1417"/>
      <c r="K3" s="1417"/>
      <c r="L3" s="1417"/>
      <c r="M3" s="1418"/>
      <c r="N3" s="1418"/>
      <c r="O3" s="1418"/>
      <c r="P3" s="1418"/>
      <c r="Q3" s="1418"/>
    </row>
    <row r="4" spans="1:17" ht="15">
      <c r="A4" s="2595" t="s">
        <v>655</v>
      </c>
      <c r="B4" s="2595"/>
      <c r="C4" s="2595"/>
      <c r="D4" s="1419"/>
      <c r="E4" s="2597" t="s">
        <v>656</v>
      </c>
      <c r="F4" s="2597"/>
      <c r="G4" s="2597"/>
      <c r="H4" s="2597"/>
      <c r="I4" s="2597"/>
      <c r="J4" s="1417"/>
      <c r="K4" s="1417"/>
      <c r="L4" s="1417"/>
      <c r="M4" s="1418"/>
      <c r="N4" s="1418"/>
      <c r="O4" s="1418"/>
      <c r="P4" s="1418"/>
      <c r="Q4" s="1418"/>
    </row>
    <row r="5" spans="1:17" ht="14.25">
      <c r="A5" s="1418"/>
      <c r="B5" s="1423"/>
      <c r="C5" s="1418"/>
      <c r="D5" s="1418"/>
      <c r="E5" s="1418"/>
      <c r="F5" s="1418"/>
      <c r="G5" s="1424"/>
      <c r="H5" s="1417"/>
      <c r="I5" s="1417"/>
      <c r="J5" s="1417"/>
      <c r="K5" s="1417"/>
      <c r="L5" s="1417"/>
      <c r="M5" s="1418"/>
      <c r="N5" s="1418"/>
      <c r="O5" s="1418"/>
      <c r="P5" s="1418"/>
      <c r="Q5" s="1418"/>
    </row>
    <row r="6" spans="1:17" ht="408">
      <c r="A6" s="1425"/>
      <c r="B6" s="1426" t="s">
        <v>657</v>
      </c>
      <c r="C6" s="2588" t="s">
        <v>587</v>
      </c>
      <c r="D6" s="2574"/>
      <c r="E6" s="2574"/>
      <c r="F6" s="2575"/>
      <c r="G6" s="1426" t="s">
        <v>658</v>
      </c>
      <c r="H6" s="2588" t="s">
        <v>659</v>
      </c>
      <c r="I6" s="2574"/>
      <c r="J6" s="2575"/>
      <c r="K6" s="1426" t="s">
        <v>660</v>
      </c>
      <c r="L6" s="1426" t="s">
        <v>661</v>
      </c>
      <c r="M6" s="1426" t="s">
        <v>662</v>
      </c>
      <c r="N6" s="1426" t="s">
        <v>663</v>
      </c>
      <c r="O6" s="1426" t="s">
        <v>664</v>
      </c>
      <c r="P6" s="1426" t="s">
        <v>665</v>
      </c>
      <c r="Q6" s="1426" t="s">
        <v>666</v>
      </c>
    </row>
    <row r="7" spans="1:17" ht="89.25">
      <c r="A7" s="1425"/>
      <c r="B7" s="1427">
        <v>1</v>
      </c>
      <c r="C7" s="2573" t="s">
        <v>667</v>
      </c>
      <c r="D7" s="2574"/>
      <c r="E7" s="2574"/>
      <c r="F7" s="2575"/>
      <c r="G7" s="1427" t="s">
        <v>668</v>
      </c>
      <c r="H7" s="2576">
        <v>671795</v>
      </c>
      <c r="I7" s="2577"/>
      <c r="J7" s="2578"/>
      <c r="K7" s="1428"/>
      <c r="L7" s="1428">
        <v>671795</v>
      </c>
      <c r="M7" s="1427" t="s">
        <v>669</v>
      </c>
      <c r="N7" s="1427" t="s">
        <v>670</v>
      </c>
      <c r="O7" s="1427" t="s">
        <v>671</v>
      </c>
      <c r="P7" s="1427" t="s">
        <v>672</v>
      </c>
      <c r="Q7" s="1427" t="s">
        <v>673</v>
      </c>
    </row>
    <row r="8" spans="1:17" ht="229.5">
      <c r="A8" s="1425"/>
      <c r="B8" s="1427">
        <v>2</v>
      </c>
      <c r="C8" s="2573" t="s">
        <v>674</v>
      </c>
      <c r="D8" s="2574"/>
      <c r="E8" s="2574"/>
      <c r="F8" s="2575"/>
      <c r="G8" s="1427" t="s">
        <v>675</v>
      </c>
      <c r="H8" s="2576">
        <v>80000</v>
      </c>
      <c r="I8" s="2577"/>
      <c r="J8" s="2578"/>
      <c r="K8" s="1428" t="s">
        <v>676</v>
      </c>
      <c r="L8" s="1428">
        <v>80000</v>
      </c>
      <c r="M8" s="1427" t="s">
        <v>676</v>
      </c>
      <c r="N8" s="1427" t="s">
        <v>677</v>
      </c>
      <c r="O8" s="1427" t="s">
        <v>678</v>
      </c>
      <c r="P8" s="1427" t="s">
        <v>679</v>
      </c>
      <c r="Q8" s="1427" t="s">
        <v>673</v>
      </c>
    </row>
    <row r="9" spans="1:17" ht="89.25">
      <c r="A9" s="1425"/>
      <c r="B9" s="1427">
        <v>3</v>
      </c>
      <c r="C9" s="2573" t="s">
        <v>680</v>
      </c>
      <c r="D9" s="2574"/>
      <c r="E9" s="2574"/>
      <c r="F9" s="2575"/>
      <c r="G9" s="1427" t="s">
        <v>668</v>
      </c>
      <c r="H9" s="2576">
        <v>1000000</v>
      </c>
      <c r="I9" s="2577"/>
      <c r="J9" s="2578"/>
      <c r="K9" s="1428" t="s">
        <v>681</v>
      </c>
      <c r="L9" s="1428">
        <v>995770</v>
      </c>
      <c r="M9" s="1427" t="s">
        <v>682</v>
      </c>
      <c r="N9" s="1427" t="s">
        <v>683</v>
      </c>
      <c r="O9" s="1427" t="s">
        <v>684</v>
      </c>
      <c r="P9" s="1427" t="s">
        <v>685</v>
      </c>
      <c r="Q9" s="1427" t="s">
        <v>673</v>
      </c>
    </row>
    <row r="10" spans="1:17" ht="191.25">
      <c r="A10" s="1425"/>
      <c r="B10" s="1427">
        <v>4</v>
      </c>
      <c r="C10" s="2573" t="s">
        <v>686</v>
      </c>
      <c r="D10" s="2574"/>
      <c r="E10" s="2574"/>
      <c r="F10" s="2575"/>
      <c r="G10" s="1427" t="s">
        <v>687</v>
      </c>
      <c r="H10" s="2576">
        <v>300000</v>
      </c>
      <c r="I10" s="2577"/>
      <c r="J10" s="2578"/>
      <c r="K10" s="1428" t="s">
        <v>688</v>
      </c>
      <c r="L10" s="1428">
        <v>276500</v>
      </c>
      <c r="M10" s="1427" t="s">
        <v>689</v>
      </c>
      <c r="N10" s="1427" t="s">
        <v>690</v>
      </c>
      <c r="O10" s="1427" t="s">
        <v>691</v>
      </c>
      <c r="P10" s="1427" t="s">
        <v>692</v>
      </c>
      <c r="Q10" s="1427" t="s">
        <v>673</v>
      </c>
    </row>
    <row r="11" spans="1:17" ht="165.75">
      <c r="A11" s="1425"/>
      <c r="B11" s="1427">
        <v>5</v>
      </c>
      <c r="C11" s="2573" t="s">
        <v>693</v>
      </c>
      <c r="D11" s="2574"/>
      <c r="E11" s="2574"/>
      <c r="F11" s="2575"/>
      <c r="G11" s="1427" t="s">
        <v>694</v>
      </c>
      <c r="H11" s="2576">
        <v>36000</v>
      </c>
      <c r="I11" s="2577"/>
      <c r="J11" s="2578"/>
      <c r="K11" s="1428" t="s">
        <v>676</v>
      </c>
      <c r="L11" s="1428">
        <v>36000</v>
      </c>
      <c r="M11" s="1427" t="s">
        <v>676</v>
      </c>
      <c r="N11" s="1427" t="s">
        <v>695</v>
      </c>
      <c r="O11" s="1427" t="s">
        <v>696</v>
      </c>
      <c r="P11" s="1427" t="s">
        <v>697</v>
      </c>
      <c r="Q11" s="1427" t="s">
        <v>673</v>
      </c>
    </row>
    <row r="12" spans="1:17" ht="102">
      <c r="A12" s="1425"/>
      <c r="B12" s="1427">
        <v>6</v>
      </c>
      <c r="C12" s="2573" t="s">
        <v>698</v>
      </c>
      <c r="D12" s="2574"/>
      <c r="E12" s="2574"/>
      <c r="F12" s="2575"/>
      <c r="G12" s="1427" t="s">
        <v>699</v>
      </c>
      <c r="H12" s="2576">
        <v>541667</v>
      </c>
      <c r="I12" s="2577"/>
      <c r="J12" s="2578"/>
      <c r="K12" s="1428" t="s">
        <v>688</v>
      </c>
      <c r="L12" s="1428">
        <v>375000</v>
      </c>
      <c r="M12" s="1427" t="s">
        <v>700</v>
      </c>
      <c r="N12" s="1427" t="s">
        <v>701</v>
      </c>
      <c r="O12" s="1427" t="s">
        <v>702</v>
      </c>
      <c r="P12" s="1427" t="s">
        <v>703</v>
      </c>
      <c r="Q12" s="1427" t="s">
        <v>704</v>
      </c>
    </row>
    <row r="13" spans="1:17" ht="127.5">
      <c r="A13" s="1425"/>
      <c r="B13" s="1427">
        <v>7</v>
      </c>
      <c r="C13" s="2573" t="s">
        <v>705</v>
      </c>
      <c r="D13" s="2574"/>
      <c r="E13" s="2574"/>
      <c r="F13" s="2575"/>
      <c r="G13" s="1427" t="s">
        <v>706</v>
      </c>
      <c r="H13" s="2576">
        <v>100000</v>
      </c>
      <c r="I13" s="2577"/>
      <c r="J13" s="2578"/>
      <c r="K13" s="1428" t="s">
        <v>688</v>
      </c>
      <c r="L13" s="1428">
        <v>54320</v>
      </c>
      <c r="M13" s="1427" t="s">
        <v>707</v>
      </c>
      <c r="N13" s="1427" t="s">
        <v>708</v>
      </c>
      <c r="O13" s="1427" t="s">
        <v>709</v>
      </c>
      <c r="P13" s="1427" t="s">
        <v>703</v>
      </c>
      <c r="Q13" s="1427" t="s">
        <v>704</v>
      </c>
    </row>
    <row r="14" spans="1:17" ht="140.25">
      <c r="A14" s="1425"/>
      <c r="B14" s="1427">
        <v>8</v>
      </c>
      <c r="C14" s="2573" t="s">
        <v>710</v>
      </c>
      <c r="D14" s="2574"/>
      <c r="E14" s="2574"/>
      <c r="F14" s="2575"/>
      <c r="G14" s="1427" t="s">
        <v>711</v>
      </c>
      <c r="H14" s="2576">
        <v>666667</v>
      </c>
      <c r="I14" s="2577"/>
      <c r="J14" s="2578"/>
      <c r="K14" s="1428" t="s">
        <v>688</v>
      </c>
      <c r="L14" s="1428">
        <v>227435</v>
      </c>
      <c r="M14" s="1427" t="s">
        <v>712</v>
      </c>
      <c r="N14" s="1427" t="s">
        <v>713</v>
      </c>
      <c r="O14" s="1427" t="s">
        <v>714</v>
      </c>
      <c r="P14" s="1427" t="s">
        <v>715</v>
      </c>
      <c r="Q14" s="1427" t="s">
        <v>673</v>
      </c>
    </row>
    <row r="15" spans="1:17" ht="178.5">
      <c r="A15" s="1425"/>
      <c r="B15" s="1427">
        <v>9</v>
      </c>
      <c r="C15" s="2573" t="s">
        <v>716</v>
      </c>
      <c r="D15" s="2574"/>
      <c r="E15" s="2574"/>
      <c r="F15" s="2575"/>
      <c r="G15" s="1427" t="s">
        <v>717</v>
      </c>
      <c r="H15" s="2576">
        <v>100000</v>
      </c>
      <c r="I15" s="2577"/>
      <c r="J15" s="2578"/>
      <c r="K15" s="1428" t="s">
        <v>676</v>
      </c>
      <c r="L15" s="1428">
        <v>99870</v>
      </c>
      <c r="M15" s="1427" t="s">
        <v>676</v>
      </c>
      <c r="N15" s="1427" t="s">
        <v>718</v>
      </c>
      <c r="O15" s="1427" t="s">
        <v>719</v>
      </c>
      <c r="P15" s="1427" t="s">
        <v>720</v>
      </c>
      <c r="Q15" s="1427" t="s">
        <v>673</v>
      </c>
    </row>
    <row r="16" spans="1:17" ht="76.5">
      <c r="A16" s="1425"/>
      <c r="B16" s="1427">
        <v>10</v>
      </c>
      <c r="C16" s="2573" t="s">
        <v>721</v>
      </c>
      <c r="D16" s="2574"/>
      <c r="E16" s="2574"/>
      <c r="F16" s="2575"/>
      <c r="G16" s="1427" t="s">
        <v>675</v>
      </c>
      <c r="H16" s="2576">
        <v>345000</v>
      </c>
      <c r="I16" s="2577"/>
      <c r="J16" s="2578"/>
      <c r="K16" s="1428" t="s">
        <v>688</v>
      </c>
      <c r="L16" s="1428">
        <v>299950</v>
      </c>
      <c r="M16" s="1427" t="s">
        <v>722</v>
      </c>
      <c r="N16" s="1427" t="s">
        <v>723</v>
      </c>
      <c r="O16" s="1427" t="s">
        <v>724</v>
      </c>
      <c r="P16" s="1427" t="s">
        <v>725</v>
      </c>
      <c r="Q16" s="1427" t="s">
        <v>673</v>
      </c>
    </row>
    <row r="17" spans="1:17" ht="63.75">
      <c r="A17" s="1425"/>
      <c r="B17" s="1427">
        <v>11</v>
      </c>
      <c r="C17" s="2573" t="s">
        <v>726</v>
      </c>
      <c r="D17" s="2574"/>
      <c r="E17" s="2574"/>
      <c r="F17" s="2575"/>
      <c r="G17" s="1427" t="s">
        <v>727</v>
      </c>
      <c r="H17" s="2576">
        <v>220767</v>
      </c>
      <c r="I17" s="2577"/>
      <c r="J17" s="2578"/>
      <c r="K17" s="1428" t="s">
        <v>688</v>
      </c>
      <c r="L17" s="1428">
        <v>77777</v>
      </c>
      <c r="M17" s="1427" t="s">
        <v>728</v>
      </c>
      <c r="N17" s="1427" t="s">
        <v>729</v>
      </c>
      <c r="O17" s="1427" t="s">
        <v>730</v>
      </c>
      <c r="P17" s="1427" t="s">
        <v>731</v>
      </c>
      <c r="Q17" s="1427" t="s">
        <v>673</v>
      </c>
    </row>
    <row r="18" spans="1:17" ht="76.5">
      <c r="A18" s="1425"/>
      <c r="B18" s="1427">
        <v>12</v>
      </c>
      <c r="C18" s="2573" t="s">
        <v>732</v>
      </c>
      <c r="D18" s="2574"/>
      <c r="E18" s="2574"/>
      <c r="F18" s="2575"/>
      <c r="G18" s="1427" t="s">
        <v>733</v>
      </c>
      <c r="H18" s="2576">
        <v>666667</v>
      </c>
      <c r="I18" s="2577"/>
      <c r="J18" s="2578"/>
      <c r="K18" s="1428" t="s">
        <v>688</v>
      </c>
      <c r="L18" s="1428">
        <v>278900</v>
      </c>
      <c r="M18" s="1427" t="s">
        <v>734</v>
      </c>
      <c r="N18" s="1427" t="s">
        <v>735</v>
      </c>
      <c r="O18" s="1427" t="s">
        <v>736</v>
      </c>
      <c r="P18" s="1427" t="s">
        <v>737</v>
      </c>
      <c r="Q18" s="1427" t="s">
        <v>704</v>
      </c>
    </row>
    <row r="19" spans="1:17" ht="140.25">
      <c r="A19" s="1425"/>
      <c r="B19" s="1429"/>
      <c r="C19" s="2860"/>
      <c r="D19" s="2861"/>
      <c r="E19" s="2861"/>
      <c r="F19" s="2862"/>
      <c r="G19" s="1429"/>
      <c r="H19" s="2863"/>
      <c r="I19" s="2864"/>
      <c r="J19" s="2865"/>
      <c r="K19" s="1430"/>
      <c r="L19" s="1428">
        <v>167000</v>
      </c>
      <c r="M19" s="1427" t="s">
        <v>738</v>
      </c>
      <c r="N19" s="1427" t="s">
        <v>713</v>
      </c>
      <c r="O19" s="1427" t="s">
        <v>714</v>
      </c>
      <c r="P19" s="1427" t="s">
        <v>739</v>
      </c>
      <c r="Q19" s="1427" t="s">
        <v>673</v>
      </c>
    </row>
    <row r="20" spans="1:17" ht="165.75">
      <c r="A20" s="1425"/>
      <c r="B20" s="1427">
        <v>14</v>
      </c>
      <c r="C20" s="2573" t="s">
        <v>740</v>
      </c>
      <c r="D20" s="2574"/>
      <c r="E20" s="2574"/>
      <c r="F20" s="2575"/>
      <c r="G20" s="1427" t="s">
        <v>741</v>
      </c>
      <c r="H20" s="2576">
        <v>100000</v>
      </c>
      <c r="I20" s="2577"/>
      <c r="J20" s="2578"/>
      <c r="K20" s="1428" t="s">
        <v>676</v>
      </c>
      <c r="L20" s="1428">
        <v>99300</v>
      </c>
      <c r="M20" s="1427" t="s">
        <v>676</v>
      </c>
      <c r="N20" s="1427" t="s">
        <v>742</v>
      </c>
      <c r="O20" s="1427" t="s">
        <v>743</v>
      </c>
      <c r="P20" s="1427" t="s">
        <v>744</v>
      </c>
      <c r="Q20" s="1427" t="s">
        <v>673</v>
      </c>
    </row>
    <row r="21" spans="1:17" ht="165.75">
      <c r="A21" s="1425"/>
      <c r="B21" s="1427">
        <v>15</v>
      </c>
      <c r="C21" s="2573" t="s">
        <v>745</v>
      </c>
      <c r="D21" s="2574"/>
      <c r="E21" s="2574"/>
      <c r="F21" s="2575"/>
      <c r="G21" s="1427" t="s">
        <v>746</v>
      </c>
      <c r="H21" s="2576">
        <v>95000</v>
      </c>
      <c r="I21" s="2577"/>
      <c r="J21" s="2578"/>
      <c r="K21" s="1428" t="s">
        <v>676</v>
      </c>
      <c r="L21" s="1428">
        <v>95000</v>
      </c>
      <c r="M21" s="1427" t="s">
        <v>676</v>
      </c>
      <c r="N21" s="1427" t="s">
        <v>695</v>
      </c>
      <c r="O21" s="1427" t="s">
        <v>696</v>
      </c>
      <c r="P21" s="1427" t="s">
        <v>747</v>
      </c>
      <c r="Q21" s="1427" t="s">
        <v>673</v>
      </c>
    </row>
    <row r="22" spans="1:17" ht="140.25">
      <c r="A22" s="1425"/>
      <c r="B22" s="1427">
        <v>16</v>
      </c>
      <c r="C22" s="2573" t="s">
        <v>748</v>
      </c>
      <c r="D22" s="2574"/>
      <c r="E22" s="2574"/>
      <c r="F22" s="2575"/>
      <c r="G22" s="1427" t="s">
        <v>749</v>
      </c>
      <c r="H22" s="2576">
        <v>100000</v>
      </c>
      <c r="I22" s="2577"/>
      <c r="J22" s="2578"/>
      <c r="K22" s="1428" t="s">
        <v>676</v>
      </c>
      <c r="L22" s="1428">
        <v>98640</v>
      </c>
      <c r="M22" s="1427" t="s">
        <v>676</v>
      </c>
      <c r="N22" s="1427" t="s">
        <v>750</v>
      </c>
      <c r="O22" s="1427" t="s">
        <v>751</v>
      </c>
      <c r="P22" s="1427" t="s">
        <v>752</v>
      </c>
      <c r="Q22" s="1427" t="s">
        <v>673</v>
      </c>
    </row>
    <row r="23" spans="1:17" ht="140.25">
      <c r="A23" s="1425"/>
      <c r="B23" s="1427">
        <v>17</v>
      </c>
      <c r="C23" s="2573" t="s">
        <v>753</v>
      </c>
      <c r="D23" s="2574"/>
      <c r="E23" s="2574"/>
      <c r="F23" s="2575"/>
      <c r="G23" s="1427" t="s">
        <v>754</v>
      </c>
      <c r="H23" s="2576">
        <v>77100</v>
      </c>
      <c r="I23" s="2577"/>
      <c r="J23" s="2578"/>
      <c r="K23" s="1428" t="s">
        <v>676</v>
      </c>
      <c r="L23" s="1428">
        <v>77100</v>
      </c>
      <c r="M23" s="1427" t="s">
        <v>676</v>
      </c>
      <c r="N23" s="1427" t="s">
        <v>713</v>
      </c>
      <c r="O23" s="1427" t="s">
        <v>714</v>
      </c>
      <c r="P23" s="1427" t="s">
        <v>755</v>
      </c>
      <c r="Q23" s="1427" t="s">
        <v>673</v>
      </c>
    </row>
    <row r="24" spans="1:17" ht="153">
      <c r="A24" s="1425"/>
      <c r="B24" s="1427">
        <v>18</v>
      </c>
      <c r="C24" s="2573" t="s">
        <v>756</v>
      </c>
      <c r="D24" s="2574"/>
      <c r="E24" s="2574"/>
      <c r="F24" s="2575"/>
      <c r="G24" s="1427" t="s">
        <v>757</v>
      </c>
      <c r="H24" s="2576">
        <v>100000</v>
      </c>
      <c r="I24" s="2577"/>
      <c r="J24" s="2578"/>
      <c r="K24" s="1428" t="s">
        <v>676</v>
      </c>
      <c r="L24" s="1428">
        <v>41408</v>
      </c>
      <c r="M24" s="1427" t="s">
        <v>676</v>
      </c>
      <c r="N24" s="1427" t="s">
        <v>758</v>
      </c>
      <c r="O24" s="1427" t="s">
        <v>759</v>
      </c>
      <c r="P24" s="1427" t="s">
        <v>760</v>
      </c>
      <c r="Q24" s="1427" t="s">
        <v>673</v>
      </c>
    </row>
    <row r="25" spans="1:17" ht="14.25">
      <c r="A25" s="1418"/>
      <c r="B25" s="1431"/>
      <c r="C25" s="2645" t="s">
        <v>761</v>
      </c>
      <c r="D25" s="2646"/>
      <c r="E25" s="2646"/>
      <c r="F25" s="2647"/>
      <c r="G25" s="1432"/>
      <c r="H25" s="2590">
        <f>SUM(H7:H24)</f>
        <v>5200663</v>
      </c>
      <c r="I25" s="2799"/>
      <c r="J25" s="2800"/>
      <c r="K25" s="1433"/>
      <c r="L25" s="1433">
        <f>SUM(L7:L24)</f>
        <v>4051765</v>
      </c>
      <c r="M25" s="1434"/>
      <c r="N25" s="1435"/>
      <c r="O25" s="1435"/>
      <c r="P25" s="1436"/>
      <c r="Q25" s="1436"/>
    </row>
    <row r="26" spans="1:17" ht="15">
      <c r="A26" s="1418"/>
      <c r="B26" s="1420"/>
      <c r="C26" s="1419"/>
      <c r="D26" s="1419"/>
      <c r="E26" s="1419"/>
      <c r="F26" s="1419"/>
      <c r="G26" s="1421"/>
      <c r="H26" s="1416"/>
      <c r="I26" s="1416"/>
      <c r="J26" s="1416"/>
      <c r="K26" s="1416"/>
      <c r="L26" s="1416"/>
      <c r="M26" s="1419"/>
      <c r="N26" s="1437" t="s">
        <v>762</v>
      </c>
      <c r="O26" s="1419"/>
      <c r="P26" s="1418"/>
      <c r="Q26" s="1418"/>
    </row>
    <row r="27" spans="1:17" ht="15">
      <c r="A27" s="1418"/>
      <c r="B27" s="1420"/>
      <c r="C27" s="1419"/>
      <c r="D27" s="1419"/>
      <c r="E27" s="1419"/>
      <c r="F27" s="1419"/>
      <c r="G27" s="1421"/>
      <c r="H27" s="1416"/>
      <c r="I27" s="1416"/>
      <c r="J27" s="1416"/>
      <c r="K27" s="1416"/>
      <c r="L27" s="1416"/>
      <c r="M27" s="1419"/>
      <c r="N27" s="1437" t="s">
        <v>763</v>
      </c>
      <c r="O27" s="1419"/>
      <c r="P27" s="1418"/>
      <c r="Q27" s="1418"/>
    </row>
    <row r="28" spans="1:17" ht="23.25">
      <c r="A28" s="2593" t="s">
        <v>652</v>
      </c>
      <c r="B28" s="2593"/>
      <c r="C28" s="2593"/>
      <c r="D28" s="2593"/>
      <c r="E28" s="2593"/>
      <c r="F28" s="2593"/>
      <c r="G28" s="2593"/>
      <c r="H28" s="2593"/>
      <c r="I28" s="1416"/>
      <c r="J28" s="1416"/>
      <c r="K28" s="1416"/>
      <c r="L28" s="1416"/>
      <c r="M28" s="1419"/>
      <c r="N28" s="1419"/>
      <c r="O28" s="1419"/>
      <c r="P28" s="1419"/>
      <c r="Q28" s="1419"/>
    </row>
    <row r="29" spans="1:17" ht="15">
      <c r="A29" s="2595" t="s">
        <v>653</v>
      </c>
      <c r="B29" s="2595"/>
      <c r="C29" s="2595"/>
      <c r="D29" s="1419"/>
      <c r="E29" s="1422" t="s">
        <v>654</v>
      </c>
      <c r="F29" s="1419"/>
      <c r="G29" s="1421"/>
      <c r="H29" s="1416"/>
      <c r="I29" s="1416"/>
      <c r="J29" s="1416"/>
      <c r="K29" s="1416"/>
      <c r="L29" s="1416"/>
      <c r="M29" s="1419"/>
      <c r="N29" s="1419"/>
      <c r="O29" s="1419"/>
      <c r="P29" s="1419"/>
      <c r="Q29" s="1419"/>
    </row>
    <row r="30" spans="1:17" ht="14.25">
      <c r="A30" s="1419"/>
      <c r="B30" s="1420"/>
      <c r="C30" s="1419"/>
      <c r="D30" s="1419"/>
      <c r="E30" s="1419"/>
      <c r="F30" s="1419"/>
      <c r="G30" s="1421"/>
      <c r="H30" s="1416"/>
      <c r="I30" s="1416"/>
      <c r="J30" s="1416"/>
      <c r="K30" s="1416"/>
      <c r="L30" s="1416"/>
      <c r="M30" s="1419"/>
      <c r="N30" s="1419"/>
      <c r="O30" s="1419"/>
      <c r="P30" s="1419"/>
      <c r="Q30" s="1419"/>
    </row>
    <row r="31" spans="1:17" ht="15">
      <c r="A31" s="2595" t="s">
        <v>655</v>
      </c>
      <c r="B31" s="2595"/>
      <c r="C31" s="2595"/>
      <c r="D31" s="1419"/>
      <c r="E31" s="2597" t="s">
        <v>764</v>
      </c>
      <c r="F31" s="2597"/>
      <c r="G31" s="2597"/>
      <c r="H31" s="2597"/>
      <c r="I31" s="2597"/>
      <c r="J31" s="1416"/>
      <c r="K31" s="1416"/>
      <c r="L31" s="1416"/>
      <c r="M31" s="1419"/>
      <c r="N31" s="1419"/>
      <c r="O31" s="1419"/>
      <c r="P31" s="1419"/>
      <c r="Q31" s="1419"/>
    </row>
    <row r="32" spans="1:17" ht="408">
      <c r="A32" s="1438"/>
      <c r="B32" s="1439" t="s">
        <v>657</v>
      </c>
      <c r="C32" s="2787" t="s">
        <v>587</v>
      </c>
      <c r="D32" s="2788"/>
      <c r="E32" s="2788"/>
      <c r="F32" s="2789"/>
      <c r="G32" s="1439" t="s">
        <v>658</v>
      </c>
      <c r="H32" s="2787" t="s">
        <v>659</v>
      </c>
      <c r="I32" s="2788"/>
      <c r="J32" s="2789"/>
      <c r="K32" s="1439" t="s">
        <v>660</v>
      </c>
      <c r="L32" s="1439" t="s">
        <v>661</v>
      </c>
      <c r="M32" s="1439" t="s">
        <v>662</v>
      </c>
      <c r="N32" s="1439" t="s">
        <v>663</v>
      </c>
      <c r="O32" s="1439" t="s">
        <v>664</v>
      </c>
      <c r="P32" s="1439" t="s">
        <v>765</v>
      </c>
      <c r="Q32" s="1439" t="s">
        <v>766</v>
      </c>
    </row>
    <row r="33" spans="1:17" ht="191.25">
      <c r="A33" s="1440"/>
      <c r="B33" s="1441">
        <v>1</v>
      </c>
      <c r="C33" s="2781" t="s">
        <v>767</v>
      </c>
      <c r="D33" s="2782"/>
      <c r="E33" s="2782"/>
      <c r="F33" s="2783"/>
      <c r="G33" s="1441" t="s">
        <v>768</v>
      </c>
      <c r="H33" s="2784">
        <v>100000</v>
      </c>
      <c r="I33" s="2785"/>
      <c r="J33" s="2786"/>
      <c r="K33" s="1442" t="s">
        <v>676</v>
      </c>
      <c r="L33" s="1442">
        <v>100000</v>
      </c>
      <c r="M33" s="1441" t="s">
        <v>676</v>
      </c>
      <c r="N33" s="1441" t="s">
        <v>769</v>
      </c>
      <c r="O33" s="1441" t="s">
        <v>770</v>
      </c>
      <c r="P33" s="1441" t="s">
        <v>771</v>
      </c>
      <c r="Q33" s="1441" t="s">
        <v>704</v>
      </c>
    </row>
    <row r="34" spans="1:17" ht="191.25">
      <c r="A34" s="1440"/>
      <c r="B34" s="1441">
        <v>2</v>
      </c>
      <c r="C34" s="2781" t="s">
        <v>772</v>
      </c>
      <c r="D34" s="2782"/>
      <c r="E34" s="2782"/>
      <c r="F34" s="2783"/>
      <c r="G34" s="1441" t="s">
        <v>773</v>
      </c>
      <c r="H34" s="2784">
        <v>100000</v>
      </c>
      <c r="I34" s="2785"/>
      <c r="J34" s="2786"/>
      <c r="K34" s="1442" t="s">
        <v>676</v>
      </c>
      <c r="L34" s="1442">
        <v>99850</v>
      </c>
      <c r="M34" s="1441" t="s">
        <v>676</v>
      </c>
      <c r="N34" s="1441" t="s">
        <v>774</v>
      </c>
      <c r="O34" s="1441" t="s">
        <v>775</v>
      </c>
      <c r="P34" s="1441" t="s">
        <v>776</v>
      </c>
      <c r="Q34" s="1441" t="s">
        <v>704</v>
      </c>
    </row>
    <row r="35" spans="1:17" ht="153">
      <c r="A35" s="1440"/>
      <c r="B35" s="1441">
        <v>3</v>
      </c>
      <c r="C35" s="2781" t="s">
        <v>777</v>
      </c>
      <c r="D35" s="2782"/>
      <c r="E35" s="2782"/>
      <c r="F35" s="2783"/>
      <c r="G35" s="1441" t="s">
        <v>749</v>
      </c>
      <c r="H35" s="2784">
        <v>100000</v>
      </c>
      <c r="I35" s="2785"/>
      <c r="J35" s="2786"/>
      <c r="K35" s="1442" t="s">
        <v>676</v>
      </c>
      <c r="L35" s="1442">
        <v>100000</v>
      </c>
      <c r="M35" s="1441" t="s">
        <v>676</v>
      </c>
      <c r="N35" s="1441" t="s">
        <v>778</v>
      </c>
      <c r="O35" s="1441" t="s">
        <v>779</v>
      </c>
      <c r="P35" s="1441" t="s">
        <v>780</v>
      </c>
      <c r="Q35" s="1441" t="s">
        <v>704</v>
      </c>
    </row>
    <row r="36" spans="1:17" ht="127.5">
      <c r="A36" s="1440"/>
      <c r="B36" s="1441">
        <v>4</v>
      </c>
      <c r="C36" s="2781" t="s">
        <v>781</v>
      </c>
      <c r="D36" s="2782"/>
      <c r="E36" s="2782"/>
      <c r="F36" s="2783"/>
      <c r="G36" s="1441" t="s">
        <v>782</v>
      </c>
      <c r="H36" s="2784">
        <v>100000</v>
      </c>
      <c r="I36" s="2785"/>
      <c r="J36" s="2786"/>
      <c r="K36" s="1442" t="s">
        <v>676</v>
      </c>
      <c r="L36" s="1442">
        <v>100000</v>
      </c>
      <c r="M36" s="1441" t="s">
        <v>676</v>
      </c>
      <c r="N36" s="1441" t="s">
        <v>783</v>
      </c>
      <c r="O36" s="1441" t="s">
        <v>784</v>
      </c>
      <c r="P36" s="1441" t="s">
        <v>785</v>
      </c>
      <c r="Q36" s="1441" t="s">
        <v>704</v>
      </c>
    </row>
    <row r="37" spans="1:17" ht="114.75">
      <c r="A37" s="1440"/>
      <c r="B37" s="1441">
        <v>5</v>
      </c>
      <c r="C37" s="2781" t="s">
        <v>786</v>
      </c>
      <c r="D37" s="2782"/>
      <c r="E37" s="2782"/>
      <c r="F37" s="2783"/>
      <c r="G37" s="1441" t="s">
        <v>787</v>
      </c>
      <c r="H37" s="2784">
        <v>100000</v>
      </c>
      <c r="I37" s="2785"/>
      <c r="J37" s="2786"/>
      <c r="K37" s="1442" t="s">
        <v>676</v>
      </c>
      <c r="L37" s="1442">
        <v>100000</v>
      </c>
      <c r="M37" s="1441" t="s">
        <v>676</v>
      </c>
      <c r="N37" s="1441" t="s">
        <v>788</v>
      </c>
      <c r="O37" s="1441" t="s">
        <v>789</v>
      </c>
      <c r="P37" s="1441" t="s">
        <v>790</v>
      </c>
      <c r="Q37" s="1441" t="s">
        <v>704</v>
      </c>
    </row>
    <row r="38" spans="1:17" ht="127.5">
      <c r="A38" s="1440"/>
      <c r="B38" s="1441">
        <v>6</v>
      </c>
      <c r="C38" s="2781" t="s">
        <v>172</v>
      </c>
      <c r="D38" s="2782"/>
      <c r="E38" s="2782"/>
      <c r="F38" s="2783"/>
      <c r="G38" s="1441" t="s">
        <v>791</v>
      </c>
      <c r="H38" s="2784">
        <v>100000</v>
      </c>
      <c r="I38" s="2785"/>
      <c r="J38" s="2786"/>
      <c r="K38" s="1442" t="s">
        <v>676</v>
      </c>
      <c r="L38" s="1442">
        <v>100000</v>
      </c>
      <c r="M38" s="1441" t="s">
        <v>676</v>
      </c>
      <c r="N38" s="1441" t="s">
        <v>792</v>
      </c>
      <c r="O38" s="1441" t="s">
        <v>793</v>
      </c>
      <c r="P38" s="1441" t="s">
        <v>794</v>
      </c>
      <c r="Q38" s="1441" t="s">
        <v>704</v>
      </c>
    </row>
    <row r="39" spans="1:17" ht="63.75">
      <c r="A39" s="1440"/>
      <c r="B39" s="1441">
        <v>7</v>
      </c>
      <c r="C39" s="2781" t="s">
        <v>795</v>
      </c>
      <c r="D39" s="2782"/>
      <c r="E39" s="2782"/>
      <c r="F39" s="2783"/>
      <c r="G39" s="1441" t="s">
        <v>796</v>
      </c>
      <c r="H39" s="2784">
        <v>100000</v>
      </c>
      <c r="I39" s="2785"/>
      <c r="J39" s="2786"/>
      <c r="K39" s="1442" t="s">
        <v>676</v>
      </c>
      <c r="L39" s="1442">
        <v>99988</v>
      </c>
      <c r="M39" s="1441" t="s">
        <v>676</v>
      </c>
      <c r="N39" s="1441" t="s">
        <v>797</v>
      </c>
      <c r="O39" s="1441" t="s">
        <v>798</v>
      </c>
      <c r="P39" s="1441" t="s">
        <v>799</v>
      </c>
      <c r="Q39" s="1441" t="s">
        <v>704</v>
      </c>
    </row>
    <row r="40" spans="1:17" ht="127.5">
      <c r="A40" s="1440"/>
      <c r="B40" s="1441">
        <v>8</v>
      </c>
      <c r="C40" s="2781" t="s">
        <v>800</v>
      </c>
      <c r="D40" s="2782"/>
      <c r="E40" s="2782"/>
      <c r="F40" s="2783"/>
      <c r="G40" s="1441" t="s">
        <v>801</v>
      </c>
      <c r="H40" s="2784">
        <v>100000</v>
      </c>
      <c r="I40" s="2785"/>
      <c r="J40" s="2786"/>
      <c r="K40" s="1442" t="s">
        <v>676</v>
      </c>
      <c r="L40" s="1442">
        <v>100000</v>
      </c>
      <c r="M40" s="1441" t="s">
        <v>676</v>
      </c>
      <c r="N40" s="1441" t="s">
        <v>802</v>
      </c>
      <c r="O40" s="1441" t="s">
        <v>803</v>
      </c>
      <c r="P40" s="1441" t="s">
        <v>804</v>
      </c>
      <c r="Q40" s="1441" t="s">
        <v>704</v>
      </c>
    </row>
    <row r="41" spans="1:17" ht="153">
      <c r="A41" s="1440"/>
      <c r="B41" s="1441">
        <v>9</v>
      </c>
      <c r="C41" s="2781" t="s">
        <v>805</v>
      </c>
      <c r="D41" s="2782"/>
      <c r="E41" s="2782"/>
      <c r="F41" s="2783"/>
      <c r="G41" s="1441" t="s">
        <v>806</v>
      </c>
      <c r="H41" s="2784">
        <v>520000</v>
      </c>
      <c r="I41" s="2785"/>
      <c r="J41" s="2786"/>
      <c r="K41" s="1442" t="s">
        <v>688</v>
      </c>
      <c r="L41" s="1442">
        <v>259900</v>
      </c>
      <c r="M41" s="1441" t="s">
        <v>807</v>
      </c>
      <c r="N41" s="1441" t="s">
        <v>808</v>
      </c>
      <c r="O41" s="1441" t="s">
        <v>809</v>
      </c>
      <c r="P41" s="1441" t="s">
        <v>810</v>
      </c>
      <c r="Q41" s="1441" t="s">
        <v>673</v>
      </c>
    </row>
    <row r="42" spans="1:17" ht="165.75">
      <c r="A42" s="1440"/>
      <c r="B42" s="1441">
        <v>10</v>
      </c>
      <c r="C42" s="2781" t="s">
        <v>811</v>
      </c>
      <c r="D42" s="2782"/>
      <c r="E42" s="2782"/>
      <c r="F42" s="2783"/>
      <c r="G42" s="1441" t="s">
        <v>812</v>
      </c>
      <c r="H42" s="2784">
        <v>80000</v>
      </c>
      <c r="I42" s="2785"/>
      <c r="J42" s="2786"/>
      <c r="K42" s="1442" t="s">
        <v>676</v>
      </c>
      <c r="L42" s="1442">
        <v>79880</v>
      </c>
      <c r="M42" s="1441" t="s">
        <v>676</v>
      </c>
      <c r="N42" s="1441" t="s">
        <v>813</v>
      </c>
      <c r="O42" s="1441" t="s">
        <v>814</v>
      </c>
      <c r="P42" s="1441" t="s">
        <v>815</v>
      </c>
      <c r="Q42" s="1441" t="s">
        <v>673</v>
      </c>
    </row>
    <row r="43" spans="1:17" ht="153">
      <c r="A43" s="1440"/>
      <c r="B43" s="1441">
        <v>11</v>
      </c>
      <c r="C43" s="2781" t="s">
        <v>816</v>
      </c>
      <c r="D43" s="2782"/>
      <c r="E43" s="2782"/>
      <c r="F43" s="2783"/>
      <c r="G43" s="1441" t="s">
        <v>711</v>
      </c>
      <c r="H43" s="2784">
        <v>500000</v>
      </c>
      <c r="I43" s="2785"/>
      <c r="J43" s="2786"/>
      <c r="K43" s="1442" t="s">
        <v>688</v>
      </c>
      <c r="L43" s="1442">
        <v>249900</v>
      </c>
      <c r="M43" s="1441" t="s">
        <v>817</v>
      </c>
      <c r="N43" s="1441" t="s">
        <v>808</v>
      </c>
      <c r="O43" s="1441" t="s">
        <v>809</v>
      </c>
      <c r="P43" s="1441" t="s">
        <v>818</v>
      </c>
      <c r="Q43" s="1441" t="s">
        <v>704</v>
      </c>
    </row>
    <row r="44" spans="1:17" ht="76.5">
      <c r="A44" s="1440"/>
      <c r="B44" s="1441">
        <v>12</v>
      </c>
      <c r="C44" s="2781" t="s">
        <v>819</v>
      </c>
      <c r="D44" s="2782"/>
      <c r="E44" s="2782"/>
      <c r="F44" s="2783"/>
      <c r="G44" s="1441" t="s">
        <v>820</v>
      </c>
      <c r="H44" s="2784">
        <v>100000</v>
      </c>
      <c r="I44" s="2785"/>
      <c r="J44" s="2786"/>
      <c r="K44" s="1442" t="s">
        <v>676</v>
      </c>
      <c r="L44" s="1442">
        <v>100000</v>
      </c>
      <c r="M44" s="1441" t="s">
        <v>676</v>
      </c>
      <c r="N44" s="1441" t="s">
        <v>821</v>
      </c>
      <c r="O44" s="1441" t="s">
        <v>822</v>
      </c>
      <c r="P44" s="1441" t="s">
        <v>823</v>
      </c>
      <c r="Q44" s="1441" t="s">
        <v>704</v>
      </c>
    </row>
    <row r="45" spans="1:17" ht="76.5">
      <c r="A45" s="1440"/>
      <c r="B45" s="1441">
        <v>13</v>
      </c>
      <c r="C45" s="2781" t="s">
        <v>824</v>
      </c>
      <c r="D45" s="2782"/>
      <c r="E45" s="2782"/>
      <c r="F45" s="2783"/>
      <c r="G45" s="1441" t="s">
        <v>825</v>
      </c>
      <c r="H45" s="2784">
        <v>100000</v>
      </c>
      <c r="I45" s="2785"/>
      <c r="J45" s="2786"/>
      <c r="K45" s="1442" t="s">
        <v>676</v>
      </c>
      <c r="L45" s="1442">
        <v>100000</v>
      </c>
      <c r="M45" s="1441" t="s">
        <v>676</v>
      </c>
      <c r="N45" s="1441" t="s">
        <v>821</v>
      </c>
      <c r="O45" s="1441" t="s">
        <v>822</v>
      </c>
      <c r="P45" s="1441" t="s">
        <v>826</v>
      </c>
      <c r="Q45" s="1441" t="s">
        <v>704</v>
      </c>
    </row>
    <row r="46" spans="1:17" ht="293.25">
      <c r="A46" s="1440"/>
      <c r="B46" s="1441">
        <v>14</v>
      </c>
      <c r="C46" s="2781" t="s">
        <v>827</v>
      </c>
      <c r="D46" s="2782"/>
      <c r="E46" s="2782"/>
      <c r="F46" s="2783"/>
      <c r="G46" s="1441" t="s">
        <v>828</v>
      </c>
      <c r="H46" s="2784">
        <v>680000</v>
      </c>
      <c r="I46" s="2785"/>
      <c r="J46" s="2786"/>
      <c r="K46" s="1442" t="s">
        <v>688</v>
      </c>
      <c r="L46" s="1442">
        <v>323245</v>
      </c>
      <c r="M46" s="1441" t="s">
        <v>829</v>
      </c>
      <c r="N46" s="1441" t="s">
        <v>830</v>
      </c>
      <c r="O46" s="1441" t="s">
        <v>831</v>
      </c>
      <c r="P46" s="1441" t="s">
        <v>832</v>
      </c>
      <c r="Q46" s="1441" t="s">
        <v>704</v>
      </c>
    </row>
    <row r="47" spans="1:17" ht="140.25">
      <c r="A47" s="1440"/>
      <c r="B47" s="1441">
        <v>15</v>
      </c>
      <c r="C47" s="2781" t="s">
        <v>833</v>
      </c>
      <c r="D47" s="2782"/>
      <c r="E47" s="2782"/>
      <c r="F47" s="2783"/>
      <c r="G47" s="1441" t="s">
        <v>675</v>
      </c>
      <c r="H47" s="2784">
        <v>100000</v>
      </c>
      <c r="I47" s="2785"/>
      <c r="J47" s="2786"/>
      <c r="K47" s="1442" t="s">
        <v>676</v>
      </c>
      <c r="L47" s="1442">
        <v>71697</v>
      </c>
      <c r="M47" s="1441" t="s">
        <v>676</v>
      </c>
      <c r="N47" s="1441" t="s">
        <v>834</v>
      </c>
      <c r="O47" s="1441" t="s">
        <v>835</v>
      </c>
      <c r="P47" s="1441" t="s">
        <v>836</v>
      </c>
      <c r="Q47" s="1441" t="s">
        <v>704</v>
      </c>
    </row>
    <row r="48" spans="1:17" ht="76.5">
      <c r="A48" s="1440"/>
      <c r="B48" s="1441">
        <v>16</v>
      </c>
      <c r="C48" s="2781" t="s">
        <v>837</v>
      </c>
      <c r="D48" s="2782"/>
      <c r="E48" s="2782"/>
      <c r="F48" s="2783"/>
      <c r="G48" s="1441" t="s">
        <v>838</v>
      </c>
      <c r="H48" s="2784">
        <v>100000</v>
      </c>
      <c r="I48" s="2785"/>
      <c r="J48" s="2786"/>
      <c r="K48" s="1442" t="s">
        <v>676</v>
      </c>
      <c r="L48" s="1442">
        <v>93000</v>
      </c>
      <c r="M48" s="1441" t="s">
        <v>676</v>
      </c>
      <c r="N48" s="1441" t="s">
        <v>821</v>
      </c>
      <c r="O48" s="1441" t="s">
        <v>822</v>
      </c>
      <c r="P48" s="1441" t="s">
        <v>839</v>
      </c>
      <c r="Q48" s="1441" t="s">
        <v>673</v>
      </c>
    </row>
    <row r="49" spans="1:17" ht="178.5">
      <c r="A49" s="1440"/>
      <c r="B49" s="1441">
        <v>17</v>
      </c>
      <c r="C49" s="2781" t="s">
        <v>840</v>
      </c>
      <c r="D49" s="2782"/>
      <c r="E49" s="2782"/>
      <c r="F49" s="2783"/>
      <c r="G49" s="1441" t="s">
        <v>841</v>
      </c>
      <c r="H49" s="2784">
        <v>100000</v>
      </c>
      <c r="I49" s="2785"/>
      <c r="J49" s="2786"/>
      <c r="K49" s="1442" t="s">
        <v>676</v>
      </c>
      <c r="L49" s="1442">
        <v>100000</v>
      </c>
      <c r="M49" s="1441" t="s">
        <v>676</v>
      </c>
      <c r="N49" s="1441" t="s">
        <v>842</v>
      </c>
      <c r="O49" s="1441" t="s">
        <v>843</v>
      </c>
      <c r="P49" s="1441" t="s">
        <v>826</v>
      </c>
      <c r="Q49" s="1441" t="s">
        <v>704</v>
      </c>
    </row>
    <row r="50" spans="1:17" ht="89.25">
      <c r="A50" s="1440"/>
      <c r="B50" s="1441">
        <v>18</v>
      </c>
      <c r="C50" s="2781" t="s">
        <v>844</v>
      </c>
      <c r="D50" s="2782"/>
      <c r="E50" s="2782"/>
      <c r="F50" s="2783"/>
      <c r="G50" s="1441" t="s">
        <v>845</v>
      </c>
      <c r="H50" s="2784">
        <v>100000</v>
      </c>
      <c r="I50" s="2785"/>
      <c r="J50" s="2786"/>
      <c r="K50" s="1442" t="s">
        <v>676</v>
      </c>
      <c r="L50" s="1442">
        <v>99300</v>
      </c>
      <c r="M50" s="1441" t="s">
        <v>676</v>
      </c>
      <c r="N50" s="1441" t="s">
        <v>846</v>
      </c>
      <c r="O50" s="1441" t="s">
        <v>847</v>
      </c>
      <c r="P50" s="1441" t="s">
        <v>848</v>
      </c>
      <c r="Q50" s="1441" t="s">
        <v>704</v>
      </c>
    </row>
    <row r="51" spans="1:17" ht="114.75">
      <c r="A51" s="1440"/>
      <c r="B51" s="1441">
        <v>19</v>
      </c>
      <c r="C51" s="2781" t="s">
        <v>849</v>
      </c>
      <c r="D51" s="2782"/>
      <c r="E51" s="2782"/>
      <c r="F51" s="2783"/>
      <c r="G51" s="1441" t="s">
        <v>850</v>
      </c>
      <c r="H51" s="2784">
        <v>100000</v>
      </c>
      <c r="I51" s="2785"/>
      <c r="J51" s="2786"/>
      <c r="K51" s="1442" t="s">
        <v>676</v>
      </c>
      <c r="L51" s="1442">
        <v>100000</v>
      </c>
      <c r="M51" s="1441" t="s">
        <v>676</v>
      </c>
      <c r="N51" s="1441" t="s">
        <v>851</v>
      </c>
      <c r="O51" s="1441" t="s">
        <v>852</v>
      </c>
      <c r="P51" s="1441" t="s">
        <v>853</v>
      </c>
      <c r="Q51" s="1441" t="s">
        <v>704</v>
      </c>
    </row>
    <row r="52" spans="1:17" ht="89.25">
      <c r="A52" s="1440"/>
      <c r="B52" s="1441">
        <v>20</v>
      </c>
      <c r="C52" s="2781" t="s">
        <v>854</v>
      </c>
      <c r="D52" s="2782"/>
      <c r="E52" s="2782"/>
      <c r="F52" s="2783"/>
      <c r="G52" s="1441" t="s">
        <v>855</v>
      </c>
      <c r="H52" s="2784">
        <v>100000</v>
      </c>
      <c r="I52" s="2785"/>
      <c r="J52" s="2786"/>
      <c r="K52" s="1442" t="s">
        <v>676</v>
      </c>
      <c r="L52" s="1442">
        <v>100000</v>
      </c>
      <c r="M52" s="1441" t="s">
        <v>676</v>
      </c>
      <c r="N52" s="1441" t="s">
        <v>856</v>
      </c>
      <c r="O52" s="1441" t="s">
        <v>857</v>
      </c>
      <c r="P52" s="1441" t="s">
        <v>858</v>
      </c>
      <c r="Q52" s="1441" t="s">
        <v>704</v>
      </c>
    </row>
    <row r="53" spans="1:17" ht="153">
      <c r="A53" s="1440"/>
      <c r="B53" s="1441">
        <v>21</v>
      </c>
      <c r="C53" s="2781" t="s">
        <v>859</v>
      </c>
      <c r="D53" s="2782"/>
      <c r="E53" s="2782"/>
      <c r="F53" s="2783"/>
      <c r="G53" s="1441" t="s">
        <v>860</v>
      </c>
      <c r="H53" s="2784">
        <v>100000</v>
      </c>
      <c r="I53" s="2785"/>
      <c r="J53" s="2786"/>
      <c r="K53" s="1442" t="s">
        <v>676</v>
      </c>
      <c r="L53" s="1442">
        <v>99000</v>
      </c>
      <c r="M53" s="1441" t="s">
        <v>676</v>
      </c>
      <c r="N53" s="1441" t="s">
        <v>861</v>
      </c>
      <c r="O53" s="1441" t="s">
        <v>862</v>
      </c>
      <c r="P53" s="1441" t="s">
        <v>863</v>
      </c>
      <c r="Q53" s="1441" t="s">
        <v>673</v>
      </c>
    </row>
    <row r="54" spans="1:17" ht="127.5">
      <c r="A54" s="1440"/>
      <c r="B54" s="1441">
        <v>22</v>
      </c>
      <c r="C54" s="2781" t="s">
        <v>864</v>
      </c>
      <c r="D54" s="2782"/>
      <c r="E54" s="2782"/>
      <c r="F54" s="2783"/>
      <c r="G54" s="1441" t="s">
        <v>806</v>
      </c>
      <c r="H54" s="2784">
        <v>100000</v>
      </c>
      <c r="I54" s="2785"/>
      <c r="J54" s="2786"/>
      <c r="K54" s="1442" t="s">
        <v>676</v>
      </c>
      <c r="L54" s="1442">
        <v>100000</v>
      </c>
      <c r="M54" s="1441" t="s">
        <v>676</v>
      </c>
      <c r="N54" s="1441" t="s">
        <v>865</v>
      </c>
      <c r="O54" s="1441" t="s">
        <v>866</v>
      </c>
      <c r="P54" s="1441" t="s">
        <v>867</v>
      </c>
      <c r="Q54" s="1441" t="s">
        <v>704</v>
      </c>
    </row>
    <row r="55" spans="1:17" ht="153">
      <c r="A55" s="1440"/>
      <c r="B55" s="1441">
        <v>23</v>
      </c>
      <c r="C55" s="2781" t="s">
        <v>868</v>
      </c>
      <c r="D55" s="2782"/>
      <c r="E55" s="2782"/>
      <c r="F55" s="2783"/>
      <c r="G55" s="1441" t="s">
        <v>869</v>
      </c>
      <c r="H55" s="2784">
        <v>600000</v>
      </c>
      <c r="I55" s="2785"/>
      <c r="J55" s="2786"/>
      <c r="K55" s="1442" t="s">
        <v>688</v>
      </c>
      <c r="L55" s="1442">
        <v>299000</v>
      </c>
      <c r="M55" s="1441" t="s">
        <v>870</v>
      </c>
      <c r="N55" s="1441" t="s">
        <v>808</v>
      </c>
      <c r="O55" s="1441" t="s">
        <v>809</v>
      </c>
      <c r="P55" s="1441" t="s">
        <v>871</v>
      </c>
      <c r="Q55" s="1441" t="s">
        <v>673</v>
      </c>
    </row>
    <row r="56" spans="1:17" ht="191.25">
      <c r="A56" s="1440"/>
      <c r="B56" s="1441">
        <v>24</v>
      </c>
      <c r="C56" s="2781" t="s">
        <v>872</v>
      </c>
      <c r="D56" s="2782"/>
      <c r="E56" s="2782"/>
      <c r="F56" s="2783"/>
      <c r="G56" s="1441" t="s">
        <v>873</v>
      </c>
      <c r="H56" s="2784">
        <v>100000</v>
      </c>
      <c r="I56" s="2785"/>
      <c r="J56" s="2786"/>
      <c r="K56" s="1442" t="s">
        <v>676</v>
      </c>
      <c r="L56" s="1442">
        <v>26250</v>
      </c>
      <c r="M56" s="1441" t="s">
        <v>676</v>
      </c>
      <c r="N56" s="1441" t="s">
        <v>874</v>
      </c>
      <c r="O56" s="1441" t="s">
        <v>875</v>
      </c>
      <c r="P56" s="1441" t="s">
        <v>876</v>
      </c>
      <c r="Q56" s="1441" t="s">
        <v>704</v>
      </c>
    </row>
    <row r="57" spans="1:17" ht="153">
      <c r="A57" s="1440"/>
      <c r="B57" s="1441">
        <v>25</v>
      </c>
      <c r="C57" s="2781" t="s">
        <v>877</v>
      </c>
      <c r="D57" s="2782"/>
      <c r="E57" s="2782"/>
      <c r="F57" s="2783"/>
      <c r="G57" s="1441" t="s">
        <v>878</v>
      </c>
      <c r="H57" s="2784">
        <v>100000</v>
      </c>
      <c r="I57" s="2785"/>
      <c r="J57" s="2786"/>
      <c r="K57" s="1442" t="s">
        <v>676</v>
      </c>
      <c r="L57" s="1442">
        <v>99700</v>
      </c>
      <c r="M57" s="1441" t="s">
        <v>676</v>
      </c>
      <c r="N57" s="1441" t="s">
        <v>861</v>
      </c>
      <c r="O57" s="1441" t="s">
        <v>862</v>
      </c>
      <c r="P57" s="1441" t="s">
        <v>879</v>
      </c>
      <c r="Q57" s="1441" t="s">
        <v>704</v>
      </c>
    </row>
    <row r="58" spans="1:17" ht="191.25">
      <c r="A58" s="1440"/>
      <c r="B58" s="1441">
        <v>26</v>
      </c>
      <c r="C58" s="2781" t="s">
        <v>880</v>
      </c>
      <c r="D58" s="2782"/>
      <c r="E58" s="2782"/>
      <c r="F58" s="2783"/>
      <c r="G58" s="1441" t="s">
        <v>881</v>
      </c>
      <c r="H58" s="2784">
        <v>100000</v>
      </c>
      <c r="I58" s="2785"/>
      <c r="J58" s="2786"/>
      <c r="K58" s="1442" t="s">
        <v>676</v>
      </c>
      <c r="L58" s="1442">
        <v>100000</v>
      </c>
      <c r="M58" s="1441" t="s">
        <v>676</v>
      </c>
      <c r="N58" s="1441" t="s">
        <v>874</v>
      </c>
      <c r="O58" s="1441" t="s">
        <v>875</v>
      </c>
      <c r="P58" s="1441" t="s">
        <v>863</v>
      </c>
      <c r="Q58" s="1441" t="s">
        <v>673</v>
      </c>
    </row>
    <row r="59" spans="1:17" ht="76.5">
      <c r="A59" s="1440"/>
      <c r="B59" s="1441">
        <v>27</v>
      </c>
      <c r="C59" s="2781" t="s">
        <v>882</v>
      </c>
      <c r="D59" s="2782"/>
      <c r="E59" s="2782"/>
      <c r="F59" s="2783"/>
      <c r="G59" s="1441" t="s">
        <v>883</v>
      </c>
      <c r="H59" s="2784">
        <v>500000</v>
      </c>
      <c r="I59" s="2785"/>
      <c r="J59" s="2786"/>
      <c r="K59" s="1442" t="s">
        <v>688</v>
      </c>
      <c r="L59" s="1442">
        <v>222490</v>
      </c>
      <c r="M59" s="1441" t="s">
        <v>884</v>
      </c>
      <c r="N59" s="1441" t="s">
        <v>885</v>
      </c>
      <c r="O59" s="1441" t="s">
        <v>886</v>
      </c>
      <c r="P59" s="1441" t="s">
        <v>818</v>
      </c>
      <c r="Q59" s="1441" t="s">
        <v>704</v>
      </c>
    </row>
    <row r="60" spans="1:17" ht="153">
      <c r="A60" s="1440"/>
      <c r="B60" s="1441">
        <v>28</v>
      </c>
      <c r="C60" s="2781" t="s">
        <v>887</v>
      </c>
      <c r="D60" s="2782"/>
      <c r="E60" s="2782"/>
      <c r="F60" s="2783"/>
      <c r="G60" s="1441" t="s">
        <v>888</v>
      </c>
      <c r="H60" s="2784">
        <v>600000</v>
      </c>
      <c r="I60" s="2785"/>
      <c r="J60" s="2786"/>
      <c r="K60" s="1442" t="s">
        <v>688</v>
      </c>
      <c r="L60" s="1442">
        <v>399990</v>
      </c>
      <c r="M60" s="1441" t="s">
        <v>889</v>
      </c>
      <c r="N60" s="1441" t="s">
        <v>808</v>
      </c>
      <c r="O60" s="1441" t="s">
        <v>809</v>
      </c>
      <c r="P60" s="1441" t="s">
        <v>818</v>
      </c>
      <c r="Q60" s="1441" t="s">
        <v>704</v>
      </c>
    </row>
    <row r="61" spans="1:17" ht="153">
      <c r="A61" s="1440"/>
      <c r="B61" s="2781">
        <v>29</v>
      </c>
      <c r="C61" s="2781" t="s">
        <v>890</v>
      </c>
      <c r="D61" s="2845"/>
      <c r="E61" s="2845"/>
      <c r="F61" s="2846"/>
      <c r="G61" s="2781" t="s">
        <v>891</v>
      </c>
      <c r="H61" s="2784">
        <v>5000000</v>
      </c>
      <c r="I61" s="2852"/>
      <c r="J61" s="2853"/>
      <c r="K61" s="2784" t="s">
        <v>892</v>
      </c>
      <c r="L61" s="1442">
        <v>1205000</v>
      </c>
      <c r="M61" s="1441" t="s">
        <v>893</v>
      </c>
      <c r="N61" s="1441" t="s">
        <v>778</v>
      </c>
      <c r="O61" s="1441" t="s">
        <v>779</v>
      </c>
      <c r="P61" s="1441" t="s">
        <v>894</v>
      </c>
      <c r="Q61" s="1441" t="s">
        <v>673</v>
      </c>
    </row>
    <row r="62" spans="1:17" ht="102">
      <c r="A62" s="1440"/>
      <c r="B62" s="2843"/>
      <c r="C62" s="2847"/>
      <c r="D62" s="2840"/>
      <c r="E62" s="2840"/>
      <c r="F62" s="2848"/>
      <c r="G62" s="2843"/>
      <c r="H62" s="2854"/>
      <c r="I62" s="2855"/>
      <c r="J62" s="2856"/>
      <c r="K62" s="2841"/>
      <c r="L62" s="1442">
        <v>880000</v>
      </c>
      <c r="M62" s="1441" t="s">
        <v>893</v>
      </c>
      <c r="N62" s="1441" t="s">
        <v>895</v>
      </c>
      <c r="O62" s="1441" t="s">
        <v>896</v>
      </c>
      <c r="P62" s="1441" t="s">
        <v>894</v>
      </c>
      <c r="Q62" s="1441" t="s">
        <v>673</v>
      </c>
    </row>
    <row r="63" spans="1:17" ht="153">
      <c r="A63" s="1440"/>
      <c r="B63" s="2843"/>
      <c r="C63" s="2847"/>
      <c r="D63" s="2840"/>
      <c r="E63" s="2840"/>
      <c r="F63" s="2848"/>
      <c r="G63" s="2843"/>
      <c r="H63" s="2854"/>
      <c r="I63" s="2855"/>
      <c r="J63" s="2856"/>
      <c r="K63" s="2841"/>
      <c r="L63" s="1442">
        <v>930450</v>
      </c>
      <c r="M63" s="1441" t="s">
        <v>893</v>
      </c>
      <c r="N63" s="1441" t="s">
        <v>778</v>
      </c>
      <c r="O63" s="1441" t="s">
        <v>779</v>
      </c>
      <c r="P63" s="1441" t="s">
        <v>894</v>
      </c>
      <c r="Q63" s="1441" t="s">
        <v>673</v>
      </c>
    </row>
    <row r="64" spans="1:17" ht="153">
      <c r="A64" s="1440"/>
      <c r="B64" s="2844"/>
      <c r="C64" s="2849"/>
      <c r="D64" s="2850"/>
      <c r="E64" s="2850"/>
      <c r="F64" s="2851"/>
      <c r="G64" s="2844"/>
      <c r="H64" s="2857"/>
      <c r="I64" s="2858"/>
      <c r="J64" s="2859"/>
      <c r="K64" s="2842"/>
      <c r="L64" s="1442">
        <v>909700</v>
      </c>
      <c r="M64" s="1441" t="s">
        <v>893</v>
      </c>
      <c r="N64" s="1441" t="s">
        <v>778</v>
      </c>
      <c r="O64" s="1441" t="s">
        <v>779</v>
      </c>
      <c r="P64" s="1441" t="s">
        <v>894</v>
      </c>
      <c r="Q64" s="1441" t="s">
        <v>673</v>
      </c>
    </row>
    <row r="65" spans="1:17" ht="153">
      <c r="A65" s="1440"/>
      <c r="B65" s="1441">
        <v>30</v>
      </c>
      <c r="C65" s="2781" t="s">
        <v>897</v>
      </c>
      <c r="D65" s="2782"/>
      <c r="E65" s="2782"/>
      <c r="F65" s="2783"/>
      <c r="G65" s="1441" t="s">
        <v>898</v>
      </c>
      <c r="H65" s="2784">
        <v>100000</v>
      </c>
      <c r="I65" s="2785"/>
      <c r="J65" s="2786"/>
      <c r="K65" s="1442" t="s">
        <v>676</v>
      </c>
      <c r="L65" s="1442">
        <v>100000</v>
      </c>
      <c r="M65" s="1441" t="s">
        <v>676</v>
      </c>
      <c r="N65" s="1441" t="s">
        <v>778</v>
      </c>
      <c r="O65" s="1441" t="s">
        <v>779</v>
      </c>
      <c r="P65" s="1441" t="s">
        <v>899</v>
      </c>
      <c r="Q65" s="1441" t="s">
        <v>704</v>
      </c>
    </row>
    <row r="66" spans="1:17" ht="14.25">
      <c r="A66" s="1419"/>
      <c r="B66" s="1431"/>
      <c r="C66" s="2645" t="s">
        <v>761</v>
      </c>
      <c r="D66" s="2646"/>
      <c r="E66" s="2646"/>
      <c r="F66" s="2647"/>
      <c r="G66" s="1432"/>
      <c r="H66" s="2590">
        <f>SUM(H33:H65)</f>
        <v>10680000</v>
      </c>
      <c r="I66" s="2799"/>
      <c r="J66" s="2800"/>
      <c r="K66" s="1433"/>
      <c r="L66" s="1433">
        <f>SUM(L33:L65)</f>
        <v>7848340</v>
      </c>
      <c r="M66" s="1434"/>
      <c r="N66" s="1435"/>
      <c r="O66" s="1435"/>
      <c r="P66" s="1435"/>
      <c r="Q66" s="1435"/>
    </row>
    <row r="67" spans="1:17" ht="15">
      <c r="A67" s="1419"/>
      <c r="B67" s="1420"/>
      <c r="C67" s="1419"/>
      <c r="D67" s="1419"/>
      <c r="E67" s="1419"/>
      <c r="F67" s="1419"/>
      <c r="G67" s="1421"/>
      <c r="H67" s="1416"/>
      <c r="I67" s="1416"/>
      <c r="J67" s="1416"/>
      <c r="K67" s="1416"/>
      <c r="L67" s="1416"/>
      <c r="M67" s="1419"/>
      <c r="N67" s="1437" t="s">
        <v>762</v>
      </c>
      <c r="O67" s="1419"/>
      <c r="P67" s="1419"/>
      <c r="Q67" s="1419"/>
    </row>
    <row r="68" spans="1:17" ht="15">
      <c r="A68" s="1419"/>
      <c r="B68" s="1420"/>
      <c r="C68" s="1419"/>
      <c r="D68" s="1419"/>
      <c r="E68" s="1419"/>
      <c r="F68" s="1419"/>
      <c r="G68" s="1421"/>
      <c r="H68" s="1416"/>
      <c r="I68" s="1416"/>
      <c r="J68" s="1416"/>
      <c r="K68" s="1416"/>
      <c r="L68" s="1416"/>
      <c r="M68" s="1419"/>
      <c r="N68" s="1437" t="s">
        <v>763</v>
      </c>
      <c r="O68" s="1419"/>
      <c r="P68" s="1419"/>
      <c r="Q68" s="1419"/>
    </row>
    <row r="69" spans="1:17" ht="23.25">
      <c r="A69" s="2593" t="s">
        <v>652</v>
      </c>
      <c r="B69" s="2593"/>
      <c r="C69" s="2593"/>
      <c r="D69" s="2593"/>
      <c r="E69" s="2593"/>
      <c r="F69" s="2593"/>
      <c r="G69" s="2593"/>
      <c r="H69" s="2593"/>
      <c r="I69" s="1416"/>
      <c r="J69" s="1416"/>
      <c r="K69" s="1416"/>
      <c r="L69" s="1416"/>
      <c r="M69" s="1419"/>
      <c r="N69" s="1419"/>
      <c r="O69" s="1419"/>
      <c r="P69" s="1419"/>
      <c r="Q69" s="1419"/>
    </row>
    <row r="70" spans="1:17" ht="14.25">
      <c r="A70" s="1419"/>
      <c r="B70" s="1420"/>
      <c r="C70" s="1419"/>
      <c r="D70" s="1419"/>
      <c r="E70" s="1419"/>
      <c r="F70" s="1419"/>
      <c r="G70" s="1421"/>
      <c r="H70" s="1416"/>
      <c r="I70" s="1416"/>
      <c r="J70" s="1416"/>
      <c r="K70" s="1416"/>
      <c r="L70" s="1416"/>
      <c r="M70" s="1419"/>
      <c r="N70" s="1419"/>
      <c r="O70" s="1419"/>
      <c r="P70" s="1419"/>
      <c r="Q70" s="1419"/>
    </row>
    <row r="71" spans="1:17" ht="15">
      <c r="A71" s="2595" t="s">
        <v>653</v>
      </c>
      <c r="B71" s="2595"/>
      <c r="C71" s="2595"/>
      <c r="D71" s="1419"/>
      <c r="E71" s="1422" t="s">
        <v>654</v>
      </c>
      <c r="F71" s="1419"/>
      <c r="G71" s="1421"/>
      <c r="H71" s="1416"/>
      <c r="I71" s="1416"/>
      <c r="J71" s="1416"/>
      <c r="K71" s="1416"/>
      <c r="L71" s="1416"/>
      <c r="M71" s="1419"/>
      <c r="N71" s="1419"/>
      <c r="O71" s="1419"/>
      <c r="P71" s="1419"/>
      <c r="Q71" s="1419"/>
    </row>
    <row r="72" spans="1:17" ht="14.25">
      <c r="A72" s="1419"/>
      <c r="B72" s="1420"/>
      <c r="C72" s="1419"/>
      <c r="D72" s="1419"/>
      <c r="E72" s="1419"/>
      <c r="F72" s="1419"/>
      <c r="G72" s="1421"/>
      <c r="H72" s="1416"/>
      <c r="I72" s="1416"/>
      <c r="J72" s="1416"/>
      <c r="K72" s="1416"/>
      <c r="L72" s="1416"/>
      <c r="M72" s="1419"/>
      <c r="N72" s="1419"/>
      <c r="O72" s="1419"/>
      <c r="P72" s="1419"/>
      <c r="Q72" s="1419"/>
    </row>
    <row r="73" spans="1:17" ht="15">
      <c r="A73" s="2595" t="s">
        <v>655</v>
      </c>
      <c r="B73" s="2840"/>
      <c r="C73" s="2840"/>
      <c r="D73" s="1440"/>
      <c r="E73" s="2597" t="s">
        <v>900</v>
      </c>
      <c r="F73" s="2840"/>
      <c r="G73" s="2840"/>
      <c r="H73" s="2840"/>
      <c r="I73" s="2840"/>
      <c r="J73" s="1443"/>
      <c r="K73" s="1443"/>
      <c r="L73" s="1443"/>
      <c r="M73" s="1440"/>
      <c r="N73" s="1440"/>
      <c r="O73" s="1440"/>
      <c r="P73" s="1440"/>
      <c r="Q73" s="1440"/>
    </row>
    <row r="74" spans="1:17" ht="15">
      <c r="A74" s="1444"/>
      <c r="B74" s="1445"/>
      <c r="C74" s="1444"/>
      <c r="D74" s="1444"/>
      <c r="E74" s="1444"/>
      <c r="F74" s="1444"/>
      <c r="G74" s="1444"/>
      <c r="H74" s="1446"/>
      <c r="I74" s="1446"/>
      <c r="J74" s="1446"/>
      <c r="K74" s="1446"/>
      <c r="L74" s="1446"/>
      <c r="M74" s="1444"/>
      <c r="N74" s="1444"/>
      <c r="O74" s="1444"/>
      <c r="P74" s="1444"/>
      <c r="Q74" s="1444"/>
    </row>
    <row r="75" spans="1:17" ht="408">
      <c r="A75" s="1447"/>
      <c r="B75" s="1448" t="s">
        <v>657</v>
      </c>
      <c r="C75" s="2714" t="s">
        <v>587</v>
      </c>
      <c r="D75" s="2714"/>
      <c r="E75" s="2714"/>
      <c r="F75" s="2714"/>
      <c r="G75" s="1448" t="s">
        <v>658</v>
      </c>
      <c r="H75" s="2714" t="s">
        <v>659</v>
      </c>
      <c r="I75" s="2690"/>
      <c r="J75" s="2690"/>
      <c r="K75" s="1448" t="s">
        <v>660</v>
      </c>
      <c r="L75" s="1448" t="s">
        <v>661</v>
      </c>
      <c r="M75" s="1448" t="s">
        <v>662</v>
      </c>
      <c r="N75" s="1448" t="s">
        <v>663</v>
      </c>
      <c r="O75" s="1448" t="s">
        <v>664</v>
      </c>
      <c r="P75" s="1448" t="s">
        <v>765</v>
      </c>
      <c r="Q75" s="1448" t="s">
        <v>766</v>
      </c>
    </row>
    <row r="76" spans="1:17" ht="165.75">
      <c r="A76" s="1447"/>
      <c r="B76" s="1449">
        <v>1</v>
      </c>
      <c r="C76" s="2689" t="s">
        <v>901</v>
      </c>
      <c r="D76" s="2689"/>
      <c r="E76" s="2689"/>
      <c r="F76" s="2689"/>
      <c r="G76" s="1449" t="s">
        <v>855</v>
      </c>
      <c r="H76" s="2691">
        <v>333330</v>
      </c>
      <c r="I76" s="2692"/>
      <c r="J76" s="2692"/>
      <c r="K76" s="1450" t="s">
        <v>688</v>
      </c>
      <c r="L76" s="1450">
        <v>264000</v>
      </c>
      <c r="M76" s="1449" t="s">
        <v>902</v>
      </c>
      <c r="N76" s="1449" t="s">
        <v>903</v>
      </c>
      <c r="O76" s="1449" t="s">
        <v>904</v>
      </c>
      <c r="P76" s="1449" t="s">
        <v>905</v>
      </c>
      <c r="Q76" s="1449" t="s">
        <v>673</v>
      </c>
    </row>
    <row r="77" spans="1:17" ht="51">
      <c r="A77" s="1447"/>
      <c r="B77" s="1449">
        <v>2</v>
      </c>
      <c r="C77" s="2689" t="s">
        <v>906</v>
      </c>
      <c r="D77" s="2689"/>
      <c r="E77" s="2689"/>
      <c r="F77" s="2689"/>
      <c r="G77" s="1449" t="s">
        <v>907</v>
      </c>
      <c r="H77" s="2691">
        <v>4790010</v>
      </c>
      <c r="I77" s="2692"/>
      <c r="J77" s="2692"/>
      <c r="K77" s="1450" t="s">
        <v>892</v>
      </c>
      <c r="L77" s="1450">
        <v>3836500</v>
      </c>
      <c r="M77" s="1449" t="s">
        <v>908</v>
      </c>
      <c r="N77" s="1449" t="s">
        <v>909</v>
      </c>
      <c r="O77" s="1449" t="s">
        <v>910</v>
      </c>
      <c r="P77" s="1449" t="s">
        <v>911</v>
      </c>
      <c r="Q77" s="1449" t="s">
        <v>673</v>
      </c>
    </row>
    <row r="78" spans="1:17" ht="63.75">
      <c r="A78" s="1447"/>
      <c r="B78" s="1449">
        <v>3</v>
      </c>
      <c r="C78" s="2689" t="s">
        <v>912</v>
      </c>
      <c r="D78" s="2689"/>
      <c r="E78" s="2689"/>
      <c r="F78" s="2689"/>
      <c r="G78" s="1449" t="s">
        <v>913</v>
      </c>
      <c r="H78" s="2691">
        <v>666650</v>
      </c>
      <c r="I78" s="2692"/>
      <c r="J78" s="2692"/>
      <c r="K78" s="1450" t="s">
        <v>688</v>
      </c>
      <c r="L78" s="1450">
        <v>381130</v>
      </c>
      <c r="M78" s="1449" t="s">
        <v>914</v>
      </c>
      <c r="N78" s="1449" t="s">
        <v>915</v>
      </c>
      <c r="O78" s="1449" t="s">
        <v>916</v>
      </c>
      <c r="P78" s="1449" t="s">
        <v>905</v>
      </c>
      <c r="Q78" s="1449" t="s">
        <v>673</v>
      </c>
    </row>
    <row r="79" spans="1:17" ht="114.75">
      <c r="A79" s="1447"/>
      <c r="B79" s="1449">
        <v>4</v>
      </c>
      <c r="C79" s="2689" t="s">
        <v>917</v>
      </c>
      <c r="D79" s="2689"/>
      <c r="E79" s="2689"/>
      <c r="F79" s="2689"/>
      <c r="G79" s="1449" t="s">
        <v>749</v>
      </c>
      <c r="H79" s="2691">
        <v>100000</v>
      </c>
      <c r="I79" s="2692"/>
      <c r="J79" s="2692"/>
      <c r="K79" s="1450" t="s">
        <v>688</v>
      </c>
      <c r="L79" s="1450">
        <v>98500</v>
      </c>
      <c r="M79" s="1449" t="s">
        <v>918</v>
      </c>
      <c r="N79" s="1449" t="s">
        <v>919</v>
      </c>
      <c r="O79" s="1449" t="s">
        <v>920</v>
      </c>
      <c r="P79" s="1449" t="s">
        <v>921</v>
      </c>
      <c r="Q79" s="1449" t="s">
        <v>673</v>
      </c>
    </row>
    <row r="80" spans="1:17" ht="114.75">
      <c r="A80" s="1447"/>
      <c r="B80" s="1449">
        <v>5</v>
      </c>
      <c r="C80" s="2689" t="s">
        <v>922</v>
      </c>
      <c r="D80" s="2689"/>
      <c r="E80" s="2689"/>
      <c r="F80" s="2689"/>
      <c r="G80" s="1449" t="s">
        <v>923</v>
      </c>
      <c r="H80" s="2691">
        <v>100000</v>
      </c>
      <c r="I80" s="2692"/>
      <c r="J80" s="2692"/>
      <c r="K80" s="1450" t="s">
        <v>688</v>
      </c>
      <c r="L80" s="1450">
        <v>94880</v>
      </c>
      <c r="M80" s="1449" t="s">
        <v>924</v>
      </c>
      <c r="N80" s="1449" t="s">
        <v>925</v>
      </c>
      <c r="O80" s="1449" t="s">
        <v>926</v>
      </c>
      <c r="P80" s="1449" t="s">
        <v>927</v>
      </c>
      <c r="Q80" s="1449" t="s">
        <v>673</v>
      </c>
    </row>
    <row r="81" spans="1:17" ht="102">
      <c r="A81" s="1447"/>
      <c r="B81" s="1449">
        <v>6</v>
      </c>
      <c r="C81" s="2689" t="s">
        <v>928</v>
      </c>
      <c r="D81" s="2689"/>
      <c r="E81" s="2689"/>
      <c r="F81" s="2689"/>
      <c r="G81" s="1449" t="s">
        <v>929</v>
      </c>
      <c r="H81" s="2691">
        <v>100000</v>
      </c>
      <c r="I81" s="2692"/>
      <c r="J81" s="2692"/>
      <c r="K81" s="1450" t="s">
        <v>688</v>
      </c>
      <c r="L81" s="1450">
        <v>99830</v>
      </c>
      <c r="M81" s="1449" t="s">
        <v>930</v>
      </c>
      <c r="N81" s="1449" t="s">
        <v>931</v>
      </c>
      <c r="O81" s="1449" t="s">
        <v>932</v>
      </c>
      <c r="P81" s="1449" t="s">
        <v>933</v>
      </c>
      <c r="Q81" s="1449" t="s">
        <v>673</v>
      </c>
    </row>
    <row r="82" spans="1:17" ht="242.25">
      <c r="A82" s="1447"/>
      <c r="B82" s="1449">
        <v>7</v>
      </c>
      <c r="C82" s="2689" t="s">
        <v>172</v>
      </c>
      <c r="D82" s="2689"/>
      <c r="E82" s="2689"/>
      <c r="F82" s="2689"/>
      <c r="G82" s="1449" t="s">
        <v>934</v>
      </c>
      <c r="H82" s="2691">
        <v>100000</v>
      </c>
      <c r="I82" s="2692"/>
      <c r="J82" s="2692"/>
      <c r="K82" s="1450" t="s">
        <v>688</v>
      </c>
      <c r="L82" s="1450">
        <v>99840</v>
      </c>
      <c r="M82" s="1449" t="s">
        <v>935</v>
      </c>
      <c r="N82" s="1449" t="s">
        <v>936</v>
      </c>
      <c r="O82" s="1449" t="s">
        <v>937</v>
      </c>
      <c r="P82" s="1449" t="s">
        <v>938</v>
      </c>
      <c r="Q82" s="1449" t="s">
        <v>673</v>
      </c>
    </row>
    <row r="83" spans="1:17" ht="114.75">
      <c r="A83" s="1447"/>
      <c r="B83" s="1449">
        <v>8</v>
      </c>
      <c r="C83" s="2689" t="s">
        <v>939</v>
      </c>
      <c r="D83" s="2689"/>
      <c r="E83" s="2689"/>
      <c r="F83" s="2689"/>
      <c r="G83" s="1449" t="s">
        <v>796</v>
      </c>
      <c r="H83" s="2691">
        <v>666660</v>
      </c>
      <c r="I83" s="2692"/>
      <c r="J83" s="2692"/>
      <c r="K83" s="1450" t="s">
        <v>688</v>
      </c>
      <c r="L83" s="1450">
        <v>316666</v>
      </c>
      <c r="M83" s="1449" t="s">
        <v>940</v>
      </c>
      <c r="N83" s="1449" t="s">
        <v>941</v>
      </c>
      <c r="O83" s="1449" t="s">
        <v>942</v>
      </c>
      <c r="P83" s="1449" t="s">
        <v>943</v>
      </c>
      <c r="Q83" s="1449" t="s">
        <v>673</v>
      </c>
    </row>
    <row r="84" spans="1:17" ht="178.5">
      <c r="A84" s="1447"/>
      <c r="B84" s="1449">
        <v>9</v>
      </c>
      <c r="C84" s="2689" t="s">
        <v>944</v>
      </c>
      <c r="D84" s="2689"/>
      <c r="E84" s="2689"/>
      <c r="F84" s="2689"/>
      <c r="G84" s="1449" t="s">
        <v>945</v>
      </c>
      <c r="H84" s="2691">
        <v>100000</v>
      </c>
      <c r="I84" s="2692"/>
      <c r="J84" s="2692"/>
      <c r="K84" s="1450" t="s">
        <v>688</v>
      </c>
      <c r="L84" s="1450">
        <v>99750</v>
      </c>
      <c r="M84" s="1449" t="s">
        <v>946</v>
      </c>
      <c r="N84" s="1449" t="s">
        <v>936</v>
      </c>
      <c r="O84" s="1449" t="s">
        <v>937</v>
      </c>
      <c r="P84" s="1449" t="s">
        <v>947</v>
      </c>
      <c r="Q84" s="1449" t="s">
        <v>673</v>
      </c>
    </row>
    <row r="85" spans="1:17" ht="140.25">
      <c r="A85" s="1447"/>
      <c r="B85" s="1449">
        <v>10</v>
      </c>
      <c r="C85" s="2689" t="s">
        <v>948</v>
      </c>
      <c r="D85" s="2689"/>
      <c r="E85" s="2689"/>
      <c r="F85" s="2689"/>
      <c r="G85" s="1449" t="s">
        <v>949</v>
      </c>
      <c r="H85" s="2691">
        <v>416660</v>
      </c>
      <c r="I85" s="2692"/>
      <c r="J85" s="2692"/>
      <c r="K85" s="1450" t="s">
        <v>688</v>
      </c>
      <c r="L85" s="1450">
        <v>238900</v>
      </c>
      <c r="M85" s="1449" t="s">
        <v>950</v>
      </c>
      <c r="N85" s="1449" t="s">
        <v>951</v>
      </c>
      <c r="O85" s="1449" t="s">
        <v>952</v>
      </c>
      <c r="P85" s="1449" t="s">
        <v>905</v>
      </c>
      <c r="Q85" s="1449" t="s">
        <v>673</v>
      </c>
    </row>
    <row r="86" spans="1:17" ht="204">
      <c r="A86" s="1447"/>
      <c r="B86" s="1449">
        <v>11</v>
      </c>
      <c r="C86" s="2689" t="s">
        <v>953</v>
      </c>
      <c r="D86" s="2689"/>
      <c r="E86" s="2689"/>
      <c r="F86" s="2689"/>
      <c r="G86" s="1449" t="s">
        <v>954</v>
      </c>
      <c r="H86" s="2691">
        <v>619585</v>
      </c>
      <c r="I86" s="2692"/>
      <c r="J86" s="2692"/>
      <c r="K86" s="1450" t="s">
        <v>688</v>
      </c>
      <c r="L86" s="1450">
        <v>350000</v>
      </c>
      <c r="M86" s="1449" t="s">
        <v>955</v>
      </c>
      <c r="N86" s="1449" t="s">
        <v>956</v>
      </c>
      <c r="O86" s="1449" t="s">
        <v>957</v>
      </c>
      <c r="P86" s="1449" t="s">
        <v>905</v>
      </c>
      <c r="Q86" s="1449" t="s">
        <v>673</v>
      </c>
    </row>
    <row r="87" spans="1:17" ht="178.5">
      <c r="A87" s="1447"/>
      <c r="B87" s="1449">
        <v>12</v>
      </c>
      <c r="C87" s="2689" t="s">
        <v>958</v>
      </c>
      <c r="D87" s="2689"/>
      <c r="E87" s="2689"/>
      <c r="F87" s="2689"/>
      <c r="G87" s="1449" t="s">
        <v>959</v>
      </c>
      <c r="H87" s="2691">
        <v>250000</v>
      </c>
      <c r="I87" s="2692"/>
      <c r="J87" s="2692"/>
      <c r="K87" s="1450" t="s">
        <v>688</v>
      </c>
      <c r="L87" s="1450">
        <v>200000</v>
      </c>
      <c r="M87" s="1449" t="s">
        <v>960</v>
      </c>
      <c r="N87" s="1449" t="s">
        <v>961</v>
      </c>
      <c r="O87" s="1449" t="s">
        <v>962</v>
      </c>
      <c r="P87" s="1449" t="s">
        <v>905</v>
      </c>
      <c r="Q87" s="1449" t="s">
        <v>673</v>
      </c>
    </row>
    <row r="88" spans="1:17" ht="178.5">
      <c r="A88" s="1447"/>
      <c r="B88" s="1449">
        <v>13</v>
      </c>
      <c r="C88" s="2689" t="s">
        <v>963</v>
      </c>
      <c r="D88" s="2689"/>
      <c r="E88" s="2689"/>
      <c r="F88" s="2689"/>
      <c r="G88" s="1449" t="s">
        <v>964</v>
      </c>
      <c r="H88" s="2691">
        <v>100000</v>
      </c>
      <c r="I88" s="2692"/>
      <c r="J88" s="2692"/>
      <c r="K88" s="1450" t="s">
        <v>688</v>
      </c>
      <c r="L88" s="1450">
        <v>99840</v>
      </c>
      <c r="M88" s="1449" t="s">
        <v>918</v>
      </c>
      <c r="N88" s="1449" t="s">
        <v>936</v>
      </c>
      <c r="O88" s="1449" t="s">
        <v>937</v>
      </c>
      <c r="P88" s="1449" t="s">
        <v>965</v>
      </c>
      <c r="Q88" s="1449" t="s">
        <v>673</v>
      </c>
    </row>
    <row r="89" spans="1:17" ht="114.75">
      <c r="A89" s="1447"/>
      <c r="B89" s="1449">
        <v>14</v>
      </c>
      <c r="C89" s="2689" t="s">
        <v>966</v>
      </c>
      <c r="D89" s="2689"/>
      <c r="E89" s="2689"/>
      <c r="F89" s="2689"/>
      <c r="G89" s="1449" t="s">
        <v>967</v>
      </c>
      <c r="H89" s="2691">
        <v>600000</v>
      </c>
      <c r="I89" s="2692"/>
      <c r="J89" s="2692"/>
      <c r="K89" s="1450" t="s">
        <v>688</v>
      </c>
      <c r="L89" s="1450">
        <v>483000</v>
      </c>
      <c r="M89" s="1449" t="s">
        <v>968</v>
      </c>
      <c r="N89" s="1449" t="s">
        <v>969</v>
      </c>
      <c r="O89" s="1449" t="s">
        <v>970</v>
      </c>
      <c r="P89" s="1449" t="s">
        <v>971</v>
      </c>
      <c r="Q89" s="1449" t="s">
        <v>673</v>
      </c>
    </row>
    <row r="90" spans="1:17" ht="51">
      <c r="A90" s="1447"/>
      <c r="B90" s="1449">
        <v>15</v>
      </c>
      <c r="C90" s="2689" t="s">
        <v>972</v>
      </c>
      <c r="D90" s="2689"/>
      <c r="E90" s="2689"/>
      <c r="F90" s="2689"/>
      <c r="G90" s="1449" t="s">
        <v>973</v>
      </c>
      <c r="H90" s="2691">
        <v>100000</v>
      </c>
      <c r="I90" s="2692"/>
      <c r="J90" s="2692"/>
      <c r="K90" s="1450" t="s">
        <v>688</v>
      </c>
      <c r="L90" s="1450">
        <v>99980</v>
      </c>
      <c r="M90" s="1449" t="s">
        <v>974</v>
      </c>
      <c r="N90" s="1449" t="s">
        <v>975</v>
      </c>
      <c r="O90" s="1449" t="s">
        <v>976</v>
      </c>
      <c r="P90" s="1449" t="s">
        <v>977</v>
      </c>
      <c r="Q90" s="1449" t="s">
        <v>673</v>
      </c>
    </row>
    <row r="91" spans="1:17" ht="153">
      <c r="A91" s="1447"/>
      <c r="B91" s="1449">
        <v>16</v>
      </c>
      <c r="C91" s="2689" t="s">
        <v>978</v>
      </c>
      <c r="D91" s="2689"/>
      <c r="E91" s="2689"/>
      <c r="F91" s="2689"/>
      <c r="G91" s="1449" t="s">
        <v>979</v>
      </c>
      <c r="H91" s="2691">
        <v>100000</v>
      </c>
      <c r="I91" s="2692"/>
      <c r="J91" s="2692"/>
      <c r="K91" s="1450" t="s">
        <v>688</v>
      </c>
      <c r="L91" s="1450">
        <v>100000</v>
      </c>
      <c r="M91" s="1449" t="s">
        <v>980</v>
      </c>
      <c r="N91" s="1449" t="s">
        <v>981</v>
      </c>
      <c r="O91" s="1449" t="s">
        <v>982</v>
      </c>
      <c r="P91" s="1449" t="s">
        <v>983</v>
      </c>
      <c r="Q91" s="1449" t="s">
        <v>673</v>
      </c>
    </row>
    <row r="92" spans="1:17" ht="102">
      <c r="A92" s="1447"/>
      <c r="B92" s="1449">
        <v>17</v>
      </c>
      <c r="C92" s="2689" t="s">
        <v>984</v>
      </c>
      <c r="D92" s="2689"/>
      <c r="E92" s="2689"/>
      <c r="F92" s="2689"/>
      <c r="G92" s="1449" t="s">
        <v>985</v>
      </c>
      <c r="H92" s="2691">
        <v>583330</v>
      </c>
      <c r="I92" s="2692"/>
      <c r="J92" s="2692"/>
      <c r="K92" s="1450" t="s">
        <v>688</v>
      </c>
      <c r="L92" s="1450">
        <v>333333</v>
      </c>
      <c r="M92" s="1449" t="s">
        <v>986</v>
      </c>
      <c r="N92" s="1449" t="s">
        <v>987</v>
      </c>
      <c r="O92" s="1449" t="s">
        <v>988</v>
      </c>
      <c r="P92" s="1449" t="s">
        <v>905</v>
      </c>
      <c r="Q92" s="1449" t="s">
        <v>673</v>
      </c>
    </row>
    <row r="93" spans="1:17" ht="178.5">
      <c r="A93" s="1447"/>
      <c r="B93" s="1449">
        <v>18</v>
      </c>
      <c r="C93" s="2689" t="s">
        <v>989</v>
      </c>
      <c r="D93" s="2689"/>
      <c r="E93" s="2689"/>
      <c r="F93" s="2689"/>
      <c r="G93" s="1449" t="s">
        <v>990</v>
      </c>
      <c r="H93" s="2691">
        <v>100000</v>
      </c>
      <c r="I93" s="2692"/>
      <c r="J93" s="2692"/>
      <c r="K93" s="1450" t="s">
        <v>688</v>
      </c>
      <c r="L93" s="1450">
        <v>99800</v>
      </c>
      <c r="M93" s="1449" t="s">
        <v>991</v>
      </c>
      <c r="N93" s="1449" t="s">
        <v>936</v>
      </c>
      <c r="O93" s="1449" t="s">
        <v>937</v>
      </c>
      <c r="P93" s="1449" t="s">
        <v>992</v>
      </c>
      <c r="Q93" s="1449" t="s">
        <v>673</v>
      </c>
    </row>
    <row r="94" spans="1:17" ht="127.5">
      <c r="A94" s="1447"/>
      <c r="B94" s="1449">
        <v>19</v>
      </c>
      <c r="C94" s="2689" t="s">
        <v>993</v>
      </c>
      <c r="D94" s="2689"/>
      <c r="E94" s="2689"/>
      <c r="F94" s="2689"/>
      <c r="G94" s="1449" t="s">
        <v>994</v>
      </c>
      <c r="H94" s="2691">
        <v>208330</v>
      </c>
      <c r="I94" s="2692"/>
      <c r="J94" s="2692"/>
      <c r="K94" s="1450" t="s">
        <v>688</v>
      </c>
      <c r="L94" s="1450">
        <v>167400</v>
      </c>
      <c r="M94" s="1449" t="s">
        <v>995</v>
      </c>
      <c r="N94" s="1449" t="s">
        <v>996</v>
      </c>
      <c r="O94" s="1449" t="s">
        <v>997</v>
      </c>
      <c r="P94" s="1449" t="s">
        <v>905</v>
      </c>
      <c r="Q94" s="1449" t="s">
        <v>673</v>
      </c>
    </row>
    <row r="95" spans="1:17" ht="76.5">
      <c r="A95" s="1447"/>
      <c r="B95" s="1449">
        <v>20</v>
      </c>
      <c r="C95" s="2689" t="s">
        <v>998</v>
      </c>
      <c r="D95" s="2689"/>
      <c r="E95" s="2689"/>
      <c r="F95" s="2689"/>
      <c r="G95" s="1449" t="s">
        <v>999</v>
      </c>
      <c r="H95" s="2691">
        <v>100000</v>
      </c>
      <c r="I95" s="2692"/>
      <c r="J95" s="2692"/>
      <c r="K95" s="1450" t="s">
        <v>688</v>
      </c>
      <c r="L95" s="1450">
        <v>92547</v>
      </c>
      <c r="M95" s="1449" t="s">
        <v>935</v>
      </c>
      <c r="N95" s="1449" t="s">
        <v>1000</v>
      </c>
      <c r="O95" s="1449" t="s">
        <v>1001</v>
      </c>
      <c r="P95" s="1449" t="s">
        <v>1002</v>
      </c>
      <c r="Q95" s="1449" t="s">
        <v>673</v>
      </c>
    </row>
    <row r="96" spans="1:17" ht="51">
      <c r="A96" s="1447"/>
      <c r="B96" s="1449">
        <v>21</v>
      </c>
      <c r="C96" s="2689" t="s">
        <v>1003</v>
      </c>
      <c r="D96" s="2689"/>
      <c r="E96" s="2689"/>
      <c r="F96" s="2689"/>
      <c r="G96" s="1449" t="s">
        <v>1004</v>
      </c>
      <c r="H96" s="2691">
        <v>319582</v>
      </c>
      <c r="I96" s="2692"/>
      <c r="J96" s="2692"/>
      <c r="K96" s="1450" t="s">
        <v>688</v>
      </c>
      <c r="L96" s="1450">
        <v>199444</v>
      </c>
      <c r="M96" s="1449" t="s">
        <v>1005</v>
      </c>
      <c r="N96" s="1449" t="s">
        <v>975</v>
      </c>
      <c r="O96" s="1449" t="s">
        <v>976</v>
      </c>
      <c r="P96" s="1449" t="s">
        <v>1006</v>
      </c>
      <c r="Q96" s="1449" t="s">
        <v>673</v>
      </c>
    </row>
    <row r="97" spans="1:17" ht="153">
      <c r="A97" s="1447"/>
      <c r="B97" s="1449">
        <v>22</v>
      </c>
      <c r="C97" s="2689" t="s">
        <v>1007</v>
      </c>
      <c r="D97" s="2689"/>
      <c r="E97" s="2689"/>
      <c r="F97" s="2689"/>
      <c r="G97" s="1449" t="s">
        <v>1008</v>
      </c>
      <c r="H97" s="2691">
        <v>100000</v>
      </c>
      <c r="I97" s="2692"/>
      <c r="J97" s="2692"/>
      <c r="K97" s="1450" t="s">
        <v>688</v>
      </c>
      <c r="L97" s="1450">
        <v>99600</v>
      </c>
      <c r="M97" s="1449" t="s">
        <v>1009</v>
      </c>
      <c r="N97" s="1449" t="s">
        <v>1010</v>
      </c>
      <c r="O97" s="1449" t="s">
        <v>1011</v>
      </c>
      <c r="P97" s="1449" t="s">
        <v>1012</v>
      </c>
      <c r="Q97" s="1449" t="s">
        <v>673</v>
      </c>
    </row>
    <row r="98" spans="1:17" ht="63.75">
      <c r="A98" s="1447"/>
      <c r="B98" s="1449">
        <v>23</v>
      </c>
      <c r="C98" s="2689" t="s">
        <v>1013</v>
      </c>
      <c r="D98" s="2689"/>
      <c r="E98" s="2689"/>
      <c r="F98" s="2689"/>
      <c r="G98" s="1449" t="s">
        <v>1014</v>
      </c>
      <c r="H98" s="2691">
        <v>666600</v>
      </c>
      <c r="I98" s="2692"/>
      <c r="J98" s="2692"/>
      <c r="K98" s="1450" t="s">
        <v>688</v>
      </c>
      <c r="L98" s="1450">
        <v>658000</v>
      </c>
      <c r="M98" s="1449" t="s">
        <v>1015</v>
      </c>
      <c r="N98" s="1449" t="s">
        <v>1016</v>
      </c>
      <c r="O98" s="1449" t="s">
        <v>1017</v>
      </c>
      <c r="P98" s="1449" t="s">
        <v>905</v>
      </c>
      <c r="Q98" s="1449" t="s">
        <v>673</v>
      </c>
    </row>
    <row r="99" spans="1:17" ht="51">
      <c r="A99" s="1447"/>
      <c r="B99" s="1449">
        <v>24</v>
      </c>
      <c r="C99" s="2689" t="s">
        <v>1018</v>
      </c>
      <c r="D99" s="2689"/>
      <c r="E99" s="2689"/>
      <c r="F99" s="2689"/>
      <c r="G99" s="1449" t="s">
        <v>907</v>
      </c>
      <c r="H99" s="2691">
        <v>732070</v>
      </c>
      <c r="I99" s="2692"/>
      <c r="J99" s="2692"/>
      <c r="K99" s="1450" t="s">
        <v>892</v>
      </c>
      <c r="L99" s="1450">
        <v>732070</v>
      </c>
      <c r="M99" s="1449" t="s">
        <v>908</v>
      </c>
      <c r="N99" s="1449" t="s">
        <v>909</v>
      </c>
      <c r="O99" s="1449" t="s">
        <v>910</v>
      </c>
      <c r="P99" s="1449" t="s">
        <v>947</v>
      </c>
      <c r="Q99" s="1449" t="s">
        <v>673</v>
      </c>
    </row>
    <row r="100" spans="1:17" ht="178.5">
      <c r="A100" s="1447"/>
      <c r="B100" s="1449">
        <v>25</v>
      </c>
      <c r="C100" s="2689" t="s">
        <v>1019</v>
      </c>
      <c r="D100" s="2689"/>
      <c r="E100" s="2689"/>
      <c r="F100" s="2689"/>
      <c r="G100" s="1449" t="s">
        <v>1020</v>
      </c>
      <c r="H100" s="2691">
        <v>676000</v>
      </c>
      <c r="I100" s="2692"/>
      <c r="J100" s="2692"/>
      <c r="K100" s="1450" t="s">
        <v>688</v>
      </c>
      <c r="L100" s="1450">
        <v>373000</v>
      </c>
      <c r="M100" s="1449" t="s">
        <v>1021</v>
      </c>
      <c r="N100" s="1449" t="s">
        <v>1022</v>
      </c>
      <c r="O100" s="1449" t="s">
        <v>1023</v>
      </c>
      <c r="P100" s="1449" t="s">
        <v>1024</v>
      </c>
      <c r="Q100" s="1449" t="s">
        <v>673</v>
      </c>
    </row>
    <row r="101" spans="1:17" ht="165.75">
      <c r="A101" s="1447"/>
      <c r="B101" s="1449">
        <v>26</v>
      </c>
      <c r="C101" s="2689" t="s">
        <v>1025</v>
      </c>
      <c r="D101" s="2689"/>
      <c r="E101" s="2689"/>
      <c r="F101" s="2689"/>
      <c r="G101" s="1449" t="s">
        <v>1026</v>
      </c>
      <c r="H101" s="2691">
        <v>100000</v>
      </c>
      <c r="I101" s="2692"/>
      <c r="J101" s="2692"/>
      <c r="K101" s="1450" t="s">
        <v>688</v>
      </c>
      <c r="L101" s="1450">
        <v>99200</v>
      </c>
      <c r="M101" s="1449" t="s">
        <v>1027</v>
      </c>
      <c r="N101" s="1449" t="s">
        <v>1028</v>
      </c>
      <c r="O101" s="1449" t="s">
        <v>1029</v>
      </c>
      <c r="P101" s="1449" t="s">
        <v>1030</v>
      </c>
      <c r="Q101" s="1449" t="s">
        <v>673</v>
      </c>
    </row>
    <row r="102" spans="1:17">
      <c r="A102" s="1451"/>
      <c r="B102" s="1431"/>
      <c r="C102" s="2589" t="s">
        <v>761</v>
      </c>
      <c r="D102" s="2589"/>
      <c r="E102" s="2589"/>
      <c r="F102" s="2589"/>
      <c r="G102" s="1432"/>
      <c r="H102" s="2701">
        <f>SUM(H76:J101)</f>
        <v>12728807</v>
      </c>
      <c r="I102" s="2839"/>
      <c r="J102" s="2839"/>
      <c r="K102" s="1433"/>
      <c r="L102" s="1433">
        <f>SUM(L76:L101)</f>
        <v>9717210</v>
      </c>
      <c r="M102" s="1434"/>
      <c r="N102" s="1435"/>
      <c r="O102" s="1435"/>
      <c r="P102" s="1452"/>
      <c r="Q102" s="1452"/>
    </row>
    <row r="103" spans="1:17" ht="15">
      <c r="A103" s="1418"/>
      <c r="B103" s="1420"/>
      <c r="C103" s="1419"/>
      <c r="D103" s="1419"/>
      <c r="E103" s="1419"/>
      <c r="F103" s="1419"/>
      <c r="G103" s="1421"/>
      <c r="H103" s="1416"/>
      <c r="I103" s="1416"/>
      <c r="J103" s="1416"/>
      <c r="K103" s="1416"/>
      <c r="L103" s="1416"/>
      <c r="M103" s="1419"/>
      <c r="N103" s="1437" t="s">
        <v>762</v>
      </c>
      <c r="O103" s="1419"/>
      <c r="P103" s="1418"/>
      <c r="Q103" s="1418"/>
    </row>
    <row r="104" spans="1:17" ht="15">
      <c r="A104" s="1418"/>
      <c r="B104" s="1420"/>
      <c r="C104" s="1419"/>
      <c r="D104" s="1419"/>
      <c r="E104" s="1419"/>
      <c r="F104" s="1419"/>
      <c r="G104" s="1421"/>
      <c r="H104" s="1416"/>
      <c r="I104" s="1416"/>
      <c r="J104" s="1416"/>
      <c r="K104" s="1416"/>
      <c r="L104" s="1416"/>
      <c r="M104" s="1419"/>
      <c r="N104" s="1437" t="s">
        <v>763</v>
      </c>
      <c r="O104" s="1419"/>
      <c r="P104" s="1418"/>
      <c r="Q104" s="1418"/>
    </row>
    <row r="105" spans="1:17" ht="23.25">
      <c r="A105" s="2593" t="s">
        <v>652</v>
      </c>
      <c r="B105" s="2593"/>
      <c r="C105" s="2593"/>
      <c r="D105" s="2593"/>
      <c r="E105" s="2593"/>
      <c r="F105" s="2593"/>
      <c r="G105" s="2593"/>
      <c r="H105" s="2593"/>
      <c r="I105" s="1416"/>
      <c r="J105" s="1416"/>
      <c r="K105" s="1416"/>
      <c r="L105" s="1416"/>
      <c r="M105" s="1419"/>
      <c r="N105" s="1419"/>
      <c r="O105" s="1419"/>
      <c r="P105" s="1419"/>
      <c r="Q105" s="1419"/>
    </row>
    <row r="106" spans="1:17" ht="14.25">
      <c r="A106" s="1419"/>
      <c r="B106" s="1420"/>
      <c r="C106" s="1419"/>
      <c r="D106" s="1419"/>
      <c r="E106" s="1419"/>
      <c r="F106" s="1419"/>
      <c r="G106" s="1421"/>
      <c r="H106" s="1416"/>
      <c r="I106" s="1416"/>
      <c r="J106" s="1416"/>
      <c r="K106" s="1416"/>
      <c r="L106" s="1416"/>
      <c r="M106" s="1419"/>
      <c r="N106" s="1419"/>
      <c r="O106" s="1419"/>
      <c r="P106" s="1419"/>
      <c r="Q106" s="1419"/>
    </row>
    <row r="107" spans="1:17" ht="15">
      <c r="A107" s="2595" t="s">
        <v>653</v>
      </c>
      <c r="B107" s="2595"/>
      <c r="C107" s="2595"/>
      <c r="D107" s="1419"/>
      <c r="E107" s="1422" t="s">
        <v>654</v>
      </c>
      <c r="F107" s="1419"/>
      <c r="G107" s="1421"/>
      <c r="H107" s="1416"/>
      <c r="I107" s="1416"/>
      <c r="J107" s="1416"/>
      <c r="K107" s="1416"/>
      <c r="L107" s="1416"/>
      <c r="M107" s="1419"/>
      <c r="N107" s="1419"/>
      <c r="O107" s="1419"/>
      <c r="P107" s="1419"/>
      <c r="Q107" s="1419"/>
    </row>
    <row r="108" spans="1:17" ht="14.25">
      <c r="A108" s="1419"/>
      <c r="B108" s="1420"/>
      <c r="C108" s="1419"/>
      <c r="D108" s="1419"/>
      <c r="E108" s="1419"/>
      <c r="F108" s="1419"/>
      <c r="G108" s="1421"/>
      <c r="H108" s="1416"/>
      <c r="I108" s="1416"/>
      <c r="J108" s="1416"/>
      <c r="K108" s="1416"/>
      <c r="L108" s="1416"/>
      <c r="M108" s="1419"/>
      <c r="N108" s="1419"/>
      <c r="O108" s="1419"/>
      <c r="P108" s="1419"/>
      <c r="Q108" s="1419"/>
    </row>
    <row r="109" spans="1:17" ht="15">
      <c r="A109" s="2595" t="s">
        <v>655</v>
      </c>
      <c r="B109" s="2595"/>
      <c r="C109" s="2595"/>
      <c r="D109" s="1419"/>
      <c r="E109" s="2597" t="s">
        <v>1031</v>
      </c>
      <c r="F109" s="2597"/>
      <c r="G109" s="2597"/>
      <c r="H109" s="2597"/>
      <c r="I109" s="2597"/>
      <c r="J109" s="1416"/>
      <c r="K109" s="1416"/>
      <c r="L109" s="1416"/>
      <c r="M109" s="1419"/>
      <c r="N109" s="1419"/>
      <c r="O109" s="1419"/>
      <c r="P109" s="1419"/>
      <c r="Q109" s="1419"/>
    </row>
    <row r="110" spans="1:17" ht="14.25">
      <c r="A110" s="1418"/>
      <c r="B110" s="1423"/>
      <c r="C110" s="1418"/>
      <c r="D110" s="1418"/>
      <c r="E110" s="1418"/>
      <c r="F110" s="1418"/>
      <c r="G110" s="1424"/>
      <c r="H110" s="1417"/>
      <c r="I110" s="1417"/>
      <c r="J110" s="1417"/>
      <c r="K110" s="1417"/>
      <c r="L110" s="1417"/>
      <c r="M110" s="1418"/>
      <c r="N110" s="1418"/>
      <c r="O110" s="1418"/>
      <c r="P110" s="1418"/>
      <c r="Q110" s="1418"/>
    </row>
    <row r="111" spans="1:17" ht="408">
      <c r="A111" s="1453"/>
      <c r="B111" s="1426" t="s">
        <v>657</v>
      </c>
      <c r="C111" s="2588" t="s">
        <v>587</v>
      </c>
      <c r="D111" s="2639"/>
      <c r="E111" s="2639"/>
      <c r="F111" s="2640"/>
      <c r="G111" s="1426" t="s">
        <v>658</v>
      </c>
      <c r="H111" s="2588" t="s">
        <v>659</v>
      </c>
      <c r="I111" s="2639"/>
      <c r="J111" s="2640"/>
      <c r="K111" s="1426" t="s">
        <v>660</v>
      </c>
      <c r="L111" s="1426" t="s">
        <v>661</v>
      </c>
      <c r="M111" s="1426" t="s">
        <v>662</v>
      </c>
      <c r="N111" s="1426" t="s">
        <v>663</v>
      </c>
      <c r="O111" s="1426" t="s">
        <v>664</v>
      </c>
      <c r="P111" s="1426" t="s">
        <v>765</v>
      </c>
      <c r="Q111" s="1426" t="s">
        <v>766</v>
      </c>
    </row>
    <row r="112" spans="1:17" ht="63.75">
      <c r="A112" s="1453"/>
      <c r="B112" s="1427">
        <v>1</v>
      </c>
      <c r="C112" s="2573" t="s">
        <v>1032</v>
      </c>
      <c r="D112" s="2639"/>
      <c r="E112" s="2639"/>
      <c r="F112" s="2640"/>
      <c r="G112" s="1427" t="s">
        <v>699</v>
      </c>
      <c r="H112" s="2576">
        <v>666666</v>
      </c>
      <c r="I112" s="2636"/>
      <c r="J112" s="2637"/>
      <c r="K112" s="1428" t="s">
        <v>688</v>
      </c>
      <c r="L112" s="1428">
        <v>435160</v>
      </c>
      <c r="M112" s="1427" t="s">
        <v>1033</v>
      </c>
      <c r="N112" s="1427" t="s">
        <v>915</v>
      </c>
      <c r="O112" s="1427" t="s">
        <v>916</v>
      </c>
      <c r="P112" s="1427" t="s">
        <v>832</v>
      </c>
      <c r="Q112" s="1427" t="s">
        <v>704</v>
      </c>
    </row>
    <row r="113" spans="1:17" ht="114.75">
      <c r="A113" s="1453"/>
      <c r="B113" s="1427">
        <v>2</v>
      </c>
      <c r="C113" s="2573" t="s">
        <v>1034</v>
      </c>
      <c r="D113" s="2639"/>
      <c r="E113" s="2639"/>
      <c r="F113" s="2640"/>
      <c r="G113" s="1427" t="s">
        <v>675</v>
      </c>
      <c r="H113" s="2576">
        <v>500000</v>
      </c>
      <c r="I113" s="2636"/>
      <c r="J113" s="2637"/>
      <c r="K113" s="1428" t="s">
        <v>688</v>
      </c>
      <c r="L113" s="1428">
        <v>438100</v>
      </c>
      <c r="M113" s="1427" t="s">
        <v>1035</v>
      </c>
      <c r="N113" s="1427" t="s">
        <v>1036</v>
      </c>
      <c r="O113" s="1427" t="s">
        <v>1037</v>
      </c>
      <c r="P113" s="1427" t="s">
        <v>832</v>
      </c>
      <c r="Q113" s="1427" t="s">
        <v>704</v>
      </c>
    </row>
    <row r="114" spans="1:17" ht="153">
      <c r="A114" s="1453"/>
      <c r="B114" s="1454">
        <v>3</v>
      </c>
      <c r="C114" s="2683" t="s">
        <v>1038</v>
      </c>
      <c r="D114" s="2684"/>
      <c r="E114" s="2684"/>
      <c r="F114" s="2685"/>
      <c r="G114" s="1454" t="s">
        <v>1039</v>
      </c>
      <c r="H114" s="2831">
        <v>96278</v>
      </c>
      <c r="I114" s="2832"/>
      <c r="J114" s="2833"/>
      <c r="K114" s="1455" t="s">
        <v>688</v>
      </c>
      <c r="L114" s="1455">
        <v>96277.5</v>
      </c>
      <c r="M114" s="1454" t="s">
        <v>1040</v>
      </c>
      <c r="N114" s="1454" t="s">
        <v>1041</v>
      </c>
      <c r="O114" s="1454" t="s">
        <v>1042</v>
      </c>
      <c r="P114" s="1454" t="s">
        <v>1043</v>
      </c>
      <c r="Q114" s="1454" t="s">
        <v>704</v>
      </c>
    </row>
    <row r="115" spans="1:17" ht="15">
      <c r="A115" s="1453"/>
      <c r="B115" s="1456">
        <v>4</v>
      </c>
      <c r="C115" s="2834" t="s">
        <v>1044</v>
      </c>
      <c r="D115" s="2835"/>
      <c r="E115" s="2835"/>
      <c r="F115" s="2835"/>
      <c r="G115" s="1457" t="s">
        <v>1045</v>
      </c>
      <c r="H115" s="2836">
        <v>500619</v>
      </c>
      <c r="I115" s="2837"/>
      <c r="J115" s="2838"/>
      <c r="K115" s="1458" t="s">
        <v>681</v>
      </c>
      <c r="L115" s="1459">
        <v>498050</v>
      </c>
      <c r="M115" s="1460" t="s">
        <v>1046</v>
      </c>
      <c r="N115" s="1460" t="s">
        <v>1047</v>
      </c>
      <c r="O115" s="1460" t="s">
        <v>1048</v>
      </c>
      <c r="P115" s="1460" t="s">
        <v>1049</v>
      </c>
      <c r="Q115" s="1461" t="s">
        <v>704</v>
      </c>
    </row>
    <row r="116" spans="1:17">
      <c r="A116" s="1462"/>
      <c r="B116" s="1431"/>
      <c r="C116" s="2645" t="s">
        <v>761</v>
      </c>
      <c r="D116" s="2646"/>
      <c r="E116" s="2646"/>
      <c r="F116" s="2647"/>
      <c r="G116" s="1432"/>
      <c r="H116" s="2590">
        <f>SUM(H112:H115)</f>
        <v>1763563</v>
      </c>
      <c r="I116" s="2829"/>
      <c r="J116" s="2830"/>
      <c r="K116" s="1433"/>
      <c r="L116" s="1433">
        <f>SUM(L112:L115)</f>
        <v>1467587.5</v>
      </c>
      <c r="M116" s="1434"/>
      <c r="N116" s="1435"/>
      <c r="O116" s="1435"/>
      <c r="P116" s="1435"/>
      <c r="Q116" s="1435"/>
    </row>
    <row r="117" spans="1:17" ht="15">
      <c r="A117" s="1419"/>
      <c r="B117" s="1420"/>
      <c r="C117" s="1419"/>
      <c r="D117" s="1419"/>
      <c r="E117" s="1419"/>
      <c r="F117" s="1419"/>
      <c r="G117" s="1421"/>
      <c r="H117" s="1416"/>
      <c r="I117" s="1416"/>
      <c r="J117" s="1416"/>
      <c r="K117" s="1416"/>
      <c r="L117" s="1416"/>
      <c r="M117" s="1419"/>
      <c r="N117" s="1437" t="s">
        <v>762</v>
      </c>
      <c r="O117" s="1419"/>
      <c r="P117" s="1419"/>
      <c r="Q117" s="1419"/>
    </row>
    <row r="118" spans="1:17" ht="15">
      <c r="A118" s="1419"/>
      <c r="B118" s="1420"/>
      <c r="C118" s="1419"/>
      <c r="D118" s="1419"/>
      <c r="E118" s="1419"/>
      <c r="F118" s="1419"/>
      <c r="G118" s="1421"/>
      <c r="H118" s="1416"/>
      <c r="I118" s="1416"/>
      <c r="J118" s="1416"/>
      <c r="K118" s="1416"/>
      <c r="L118" s="1416"/>
      <c r="M118" s="1419"/>
      <c r="N118" s="1437" t="s">
        <v>763</v>
      </c>
      <c r="O118" s="1419"/>
      <c r="P118" s="1419"/>
      <c r="Q118" s="1419"/>
    </row>
    <row r="119" spans="1:17" ht="23.25">
      <c r="A119" s="2593" t="s">
        <v>652</v>
      </c>
      <c r="B119" s="2593"/>
      <c r="C119" s="2593"/>
      <c r="D119" s="2593"/>
      <c r="E119" s="2593"/>
      <c r="F119" s="2593"/>
      <c r="G119" s="2593"/>
      <c r="H119" s="2593"/>
      <c r="I119" s="1416"/>
      <c r="J119" s="1416"/>
      <c r="K119" s="1416"/>
      <c r="L119" s="1416"/>
      <c r="M119" s="1419"/>
      <c r="N119" s="1419"/>
      <c r="O119" s="1419"/>
      <c r="P119" s="1419"/>
      <c r="Q119" s="1419"/>
    </row>
    <row r="120" spans="1:17" ht="14.25">
      <c r="A120" s="1419"/>
      <c r="B120" s="1420"/>
      <c r="C120" s="1419"/>
      <c r="D120" s="1419"/>
      <c r="E120" s="1419"/>
      <c r="F120" s="1419"/>
      <c r="G120" s="1421"/>
      <c r="H120" s="1416"/>
      <c r="I120" s="1416"/>
      <c r="J120" s="1416"/>
      <c r="K120" s="1416"/>
      <c r="L120" s="1416"/>
      <c r="M120" s="1419"/>
      <c r="N120" s="1419"/>
      <c r="O120" s="1419"/>
      <c r="P120" s="1419"/>
      <c r="Q120" s="1419"/>
    </row>
    <row r="121" spans="1:17" ht="14.25">
      <c r="A121" s="2604" t="s">
        <v>653</v>
      </c>
      <c r="B121" s="2604"/>
      <c r="C121" s="2604"/>
      <c r="D121" s="1419"/>
      <c r="E121" s="1463" t="s">
        <v>654</v>
      </c>
      <c r="F121" s="1419"/>
      <c r="G121" s="1421"/>
      <c r="H121" s="1416"/>
      <c r="I121" s="1416"/>
      <c r="J121" s="1416"/>
      <c r="K121" s="1416"/>
      <c r="L121" s="1416"/>
      <c r="M121" s="1419"/>
      <c r="N121" s="1419"/>
      <c r="O121" s="1419"/>
      <c r="P121" s="1419"/>
      <c r="Q121" s="1419"/>
    </row>
    <row r="122" spans="1:17" ht="14.25">
      <c r="A122" s="1419"/>
      <c r="B122" s="1420"/>
      <c r="C122" s="1419"/>
      <c r="D122" s="1419"/>
      <c r="E122" s="1419"/>
      <c r="F122" s="1419"/>
      <c r="G122" s="1421"/>
      <c r="H122" s="1416"/>
      <c r="I122" s="1416"/>
      <c r="J122" s="1416"/>
      <c r="K122" s="1416"/>
      <c r="L122" s="1416"/>
      <c r="M122" s="1419"/>
      <c r="N122" s="1419"/>
      <c r="O122" s="1419"/>
      <c r="P122" s="1419"/>
      <c r="Q122" s="1419"/>
    </row>
    <row r="123" spans="1:17" ht="14.25">
      <c r="A123" s="2604" t="s">
        <v>655</v>
      </c>
      <c r="B123" s="2604"/>
      <c r="C123" s="2604"/>
      <c r="D123" s="1419"/>
      <c r="E123" s="2605" t="s">
        <v>1050</v>
      </c>
      <c r="F123" s="2605"/>
      <c r="G123" s="2605"/>
      <c r="H123" s="2605"/>
      <c r="I123" s="2605"/>
      <c r="J123" s="1416"/>
      <c r="K123" s="1416"/>
      <c r="L123" s="1416"/>
      <c r="M123" s="1419"/>
      <c r="N123" s="1419"/>
      <c r="O123" s="1419"/>
      <c r="P123" s="1419"/>
      <c r="Q123" s="1419"/>
    </row>
    <row r="124" spans="1:17" ht="14.25">
      <c r="A124" s="1418"/>
      <c r="B124" s="1423"/>
      <c r="C124" s="1418"/>
      <c r="D124" s="1418"/>
      <c r="E124" s="1418"/>
      <c r="F124" s="1418"/>
      <c r="G124" s="1424"/>
      <c r="H124" s="1417"/>
      <c r="I124" s="1417"/>
      <c r="J124" s="1417"/>
      <c r="K124" s="1417"/>
      <c r="L124" s="1417"/>
      <c r="M124" s="1418"/>
      <c r="N124" s="1418"/>
      <c r="O124" s="1418"/>
      <c r="P124" s="1418"/>
      <c r="Q124" s="1418"/>
    </row>
    <row r="125" spans="1:17" ht="408">
      <c r="A125" s="1453"/>
      <c r="B125" s="1426" t="s">
        <v>657</v>
      </c>
      <c r="C125" s="2588" t="s">
        <v>587</v>
      </c>
      <c r="D125" s="2574"/>
      <c r="E125" s="2574"/>
      <c r="F125" s="2575"/>
      <c r="G125" s="1426" t="s">
        <v>658</v>
      </c>
      <c r="H125" s="2588" t="s">
        <v>659</v>
      </c>
      <c r="I125" s="2574"/>
      <c r="J125" s="2575"/>
      <c r="K125" s="1426" t="s">
        <v>660</v>
      </c>
      <c r="L125" s="1426" t="s">
        <v>661</v>
      </c>
      <c r="M125" s="1426" t="s">
        <v>662</v>
      </c>
      <c r="N125" s="1426" t="s">
        <v>663</v>
      </c>
      <c r="O125" s="1426" t="s">
        <v>664</v>
      </c>
      <c r="P125" s="1426" t="s">
        <v>665</v>
      </c>
      <c r="Q125" s="1426" t="s">
        <v>666</v>
      </c>
    </row>
    <row r="126" spans="1:17" ht="76.5">
      <c r="A126" s="1453"/>
      <c r="B126" s="1427">
        <v>1</v>
      </c>
      <c r="C126" s="2573" t="s">
        <v>1051</v>
      </c>
      <c r="D126" s="2574"/>
      <c r="E126" s="2574"/>
      <c r="F126" s="2575"/>
      <c r="G126" s="1427" t="s">
        <v>699</v>
      </c>
      <c r="H126" s="2576">
        <v>416667</v>
      </c>
      <c r="I126" s="2577"/>
      <c r="J126" s="2578"/>
      <c r="K126" s="1428" t="s">
        <v>688</v>
      </c>
      <c r="L126" s="1428">
        <v>329500</v>
      </c>
      <c r="M126" s="1427" t="s">
        <v>1052</v>
      </c>
      <c r="N126" s="1427" t="s">
        <v>1053</v>
      </c>
      <c r="O126" s="1427" t="s">
        <v>1054</v>
      </c>
      <c r="P126" s="1427" t="s">
        <v>1055</v>
      </c>
      <c r="Q126" s="1427" t="s">
        <v>673</v>
      </c>
    </row>
    <row r="127" spans="1:17" ht="153">
      <c r="A127" s="1453"/>
      <c r="B127" s="1427">
        <v>2</v>
      </c>
      <c r="C127" s="2573" t="s">
        <v>1056</v>
      </c>
      <c r="D127" s="2574"/>
      <c r="E127" s="2574"/>
      <c r="F127" s="2575"/>
      <c r="G127" s="1427" t="s">
        <v>706</v>
      </c>
      <c r="H127" s="2576">
        <v>250000</v>
      </c>
      <c r="I127" s="2577"/>
      <c r="J127" s="2578"/>
      <c r="K127" s="1428" t="s">
        <v>688</v>
      </c>
      <c r="L127" s="1428">
        <v>185000</v>
      </c>
      <c r="M127" s="1427" t="s">
        <v>1057</v>
      </c>
      <c r="N127" s="1427" t="s">
        <v>1058</v>
      </c>
      <c r="O127" s="1427" t="s">
        <v>1059</v>
      </c>
      <c r="P127" s="1427" t="s">
        <v>1060</v>
      </c>
      <c r="Q127" s="1427" t="s">
        <v>704</v>
      </c>
    </row>
    <row r="128" spans="1:17" ht="153">
      <c r="A128" s="1453"/>
      <c r="B128" s="1427">
        <v>3</v>
      </c>
      <c r="C128" s="2573" t="s">
        <v>1061</v>
      </c>
      <c r="D128" s="2574"/>
      <c r="E128" s="2574"/>
      <c r="F128" s="2575"/>
      <c r="G128" s="1427" t="s">
        <v>1062</v>
      </c>
      <c r="H128" s="2576">
        <v>400000</v>
      </c>
      <c r="I128" s="2577"/>
      <c r="J128" s="2578"/>
      <c r="K128" s="1428" t="s">
        <v>688</v>
      </c>
      <c r="L128" s="1428">
        <v>325000</v>
      </c>
      <c r="M128" s="1427" t="s">
        <v>1063</v>
      </c>
      <c r="N128" s="1427" t="s">
        <v>1058</v>
      </c>
      <c r="O128" s="1427" t="s">
        <v>1059</v>
      </c>
      <c r="P128" s="1427" t="s">
        <v>1064</v>
      </c>
      <c r="Q128" s="1427" t="s">
        <v>704</v>
      </c>
    </row>
    <row r="129" spans="1:17" ht="140.25">
      <c r="A129" s="1453"/>
      <c r="B129" s="1427">
        <v>4</v>
      </c>
      <c r="C129" s="2573" t="s">
        <v>1065</v>
      </c>
      <c r="D129" s="2574"/>
      <c r="E129" s="2574"/>
      <c r="F129" s="2575"/>
      <c r="G129" s="1427" t="s">
        <v>1066</v>
      </c>
      <c r="H129" s="2576">
        <v>333333</v>
      </c>
      <c r="I129" s="2577"/>
      <c r="J129" s="2578"/>
      <c r="K129" s="1428" t="s">
        <v>688</v>
      </c>
      <c r="L129" s="1428">
        <v>289000</v>
      </c>
      <c r="M129" s="1427" t="s">
        <v>1067</v>
      </c>
      <c r="N129" s="1427" t="s">
        <v>951</v>
      </c>
      <c r="O129" s="1427" t="s">
        <v>952</v>
      </c>
      <c r="P129" s="1427" t="s">
        <v>1055</v>
      </c>
      <c r="Q129" s="1427" t="s">
        <v>673</v>
      </c>
    </row>
    <row r="130" spans="1:17" ht="114.75">
      <c r="A130" s="1453"/>
      <c r="B130" s="1427">
        <v>5</v>
      </c>
      <c r="C130" s="2573" t="s">
        <v>1068</v>
      </c>
      <c r="D130" s="2574"/>
      <c r="E130" s="2574"/>
      <c r="F130" s="2575"/>
      <c r="G130" s="1427" t="s">
        <v>675</v>
      </c>
      <c r="H130" s="2576">
        <v>125000</v>
      </c>
      <c r="I130" s="2577"/>
      <c r="J130" s="2578"/>
      <c r="K130" s="1428" t="s">
        <v>688</v>
      </c>
      <c r="L130" s="1428">
        <v>122000</v>
      </c>
      <c r="M130" s="1427" t="s">
        <v>1069</v>
      </c>
      <c r="N130" s="1427" t="s">
        <v>1036</v>
      </c>
      <c r="O130" s="1427" t="s">
        <v>1037</v>
      </c>
      <c r="P130" s="1427" t="s">
        <v>1070</v>
      </c>
      <c r="Q130" s="1427" t="s">
        <v>704</v>
      </c>
    </row>
    <row r="131" spans="1:17" ht="51">
      <c r="A131" s="1453"/>
      <c r="B131" s="1427">
        <v>6</v>
      </c>
      <c r="C131" s="2573" t="s">
        <v>1071</v>
      </c>
      <c r="D131" s="2574"/>
      <c r="E131" s="2574"/>
      <c r="F131" s="2575"/>
      <c r="G131" s="1427" t="s">
        <v>907</v>
      </c>
      <c r="H131" s="2576">
        <v>4812583</v>
      </c>
      <c r="I131" s="2577"/>
      <c r="J131" s="2578"/>
      <c r="K131" s="1428" t="s">
        <v>892</v>
      </c>
      <c r="L131" s="1428">
        <v>4159373</v>
      </c>
      <c r="M131" s="1427" t="s">
        <v>1072</v>
      </c>
      <c r="N131" s="1427" t="s">
        <v>1073</v>
      </c>
      <c r="O131" s="1427" t="s">
        <v>1074</v>
      </c>
      <c r="P131" s="1427" t="s">
        <v>1075</v>
      </c>
      <c r="Q131" s="1427" t="s">
        <v>704</v>
      </c>
    </row>
    <row r="132" spans="1:17" ht="153">
      <c r="A132" s="1453"/>
      <c r="B132" s="1427">
        <v>7</v>
      </c>
      <c r="C132" s="2573" t="s">
        <v>1076</v>
      </c>
      <c r="D132" s="2574"/>
      <c r="E132" s="2574"/>
      <c r="F132" s="2575"/>
      <c r="G132" s="1427" t="s">
        <v>1077</v>
      </c>
      <c r="H132" s="2576">
        <v>800000</v>
      </c>
      <c r="I132" s="2577"/>
      <c r="J132" s="2578"/>
      <c r="K132" s="1428" t="s">
        <v>688</v>
      </c>
      <c r="L132" s="1428">
        <v>647000</v>
      </c>
      <c r="M132" s="1427" t="s">
        <v>1078</v>
      </c>
      <c r="N132" s="1427" t="s">
        <v>1058</v>
      </c>
      <c r="O132" s="1427" t="s">
        <v>1059</v>
      </c>
      <c r="P132" s="1427" t="s">
        <v>1079</v>
      </c>
      <c r="Q132" s="1427" t="s">
        <v>704</v>
      </c>
    </row>
    <row r="133" spans="1:17" ht="153">
      <c r="A133" s="1453"/>
      <c r="B133" s="1427">
        <v>8</v>
      </c>
      <c r="C133" s="2573" t="s">
        <v>1080</v>
      </c>
      <c r="D133" s="2574"/>
      <c r="E133" s="2574"/>
      <c r="F133" s="2575"/>
      <c r="G133" s="1427" t="s">
        <v>1081</v>
      </c>
      <c r="H133" s="2576">
        <v>175000</v>
      </c>
      <c r="I133" s="2577"/>
      <c r="J133" s="2578"/>
      <c r="K133" s="1428" t="s">
        <v>688</v>
      </c>
      <c r="L133" s="1428">
        <v>170000</v>
      </c>
      <c r="M133" s="1427" t="s">
        <v>1082</v>
      </c>
      <c r="N133" s="1427" t="s">
        <v>1083</v>
      </c>
      <c r="O133" s="1427" t="s">
        <v>1084</v>
      </c>
      <c r="P133" s="1427" t="s">
        <v>1060</v>
      </c>
      <c r="Q133" s="1427" t="s">
        <v>704</v>
      </c>
    </row>
    <row r="134" spans="1:17" ht="140.25">
      <c r="A134" s="1453"/>
      <c r="B134" s="1427">
        <v>9</v>
      </c>
      <c r="C134" s="2573" t="s">
        <v>1085</v>
      </c>
      <c r="D134" s="2574"/>
      <c r="E134" s="2574"/>
      <c r="F134" s="2575"/>
      <c r="G134" s="1427" t="s">
        <v>1086</v>
      </c>
      <c r="H134" s="2576">
        <v>666667</v>
      </c>
      <c r="I134" s="2577"/>
      <c r="J134" s="2578"/>
      <c r="K134" s="1428" t="s">
        <v>688</v>
      </c>
      <c r="L134" s="1428">
        <v>628000</v>
      </c>
      <c r="M134" s="1427" t="s">
        <v>1087</v>
      </c>
      <c r="N134" s="1427" t="s">
        <v>1088</v>
      </c>
      <c r="O134" s="1427" t="s">
        <v>1089</v>
      </c>
      <c r="P134" s="1427" t="s">
        <v>1090</v>
      </c>
      <c r="Q134" s="1427" t="s">
        <v>704</v>
      </c>
    </row>
    <row r="135" spans="1:17" ht="14.25">
      <c r="A135" s="1419"/>
      <c r="B135" s="1431"/>
      <c r="C135" s="2645" t="s">
        <v>761</v>
      </c>
      <c r="D135" s="2646"/>
      <c r="E135" s="2646"/>
      <c r="F135" s="2647"/>
      <c r="G135" s="1432"/>
      <c r="H135" s="2590">
        <f>SUM(H126:H134)</f>
        <v>7979250</v>
      </c>
      <c r="I135" s="2799"/>
      <c r="J135" s="2800"/>
      <c r="K135" s="1433"/>
      <c r="L135" s="1433">
        <f>SUM(L126:L134)</f>
        <v>6854873</v>
      </c>
      <c r="M135" s="1434"/>
      <c r="N135" s="1435"/>
      <c r="O135" s="1435"/>
      <c r="P135" s="1435"/>
      <c r="Q135" s="1435"/>
    </row>
    <row r="136" spans="1:17" ht="15">
      <c r="A136" s="1419"/>
      <c r="B136" s="1420"/>
      <c r="C136" s="1419"/>
      <c r="D136" s="1419"/>
      <c r="E136" s="1419"/>
      <c r="F136" s="1419"/>
      <c r="G136" s="1421"/>
      <c r="H136" s="1416"/>
      <c r="I136" s="1416"/>
      <c r="J136" s="1416"/>
      <c r="K136" s="1416"/>
      <c r="L136" s="1416"/>
      <c r="M136" s="1419"/>
      <c r="N136" s="1437" t="s">
        <v>762</v>
      </c>
      <c r="O136" s="1419"/>
      <c r="P136" s="1419"/>
      <c r="Q136" s="1419"/>
    </row>
    <row r="137" spans="1:17" ht="15">
      <c r="A137" s="1418"/>
      <c r="B137" s="1423"/>
      <c r="C137" s="1418"/>
      <c r="D137" s="1418"/>
      <c r="E137" s="1418"/>
      <c r="F137" s="1418"/>
      <c r="G137" s="1424"/>
      <c r="H137" s="1417"/>
      <c r="I137" s="1417"/>
      <c r="J137" s="1417"/>
      <c r="K137" s="1417"/>
      <c r="L137" s="1417"/>
      <c r="M137" s="1418"/>
      <c r="N137" s="1437" t="s">
        <v>763</v>
      </c>
      <c r="O137" s="1418"/>
      <c r="P137" s="1418"/>
      <c r="Q137" s="1418"/>
    </row>
    <row r="138" spans="1:17" ht="23.25">
      <c r="A138" s="2593" t="s">
        <v>652</v>
      </c>
      <c r="B138" s="2593"/>
      <c r="C138" s="2593"/>
      <c r="D138" s="2593"/>
      <c r="E138" s="2593"/>
      <c r="F138" s="2593"/>
      <c r="G138" s="2593"/>
      <c r="H138" s="2593"/>
      <c r="I138" s="1416"/>
      <c r="J138" s="1416"/>
      <c r="K138" s="1416"/>
      <c r="L138" s="1416"/>
      <c r="M138" s="1419"/>
      <c r="N138" s="1419"/>
      <c r="O138" s="1419"/>
      <c r="P138" s="1419"/>
      <c r="Q138" s="1419"/>
    </row>
    <row r="139" spans="1:17" ht="14.25">
      <c r="A139" s="1419"/>
      <c r="B139" s="1420"/>
      <c r="C139" s="1419"/>
      <c r="D139" s="1419"/>
      <c r="E139" s="1419"/>
      <c r="F139" s="1419"/>
      <c r="G139" s="1421"/>
      <c r="H139" s="1416"/>
      <c r="I139" s="1416"/>
      <c r="J139" s="1416"/>
      <c r="K139" s="1416"/>
      <c r="L139" s="1416"/>
      <c r="M139" s="1419"/>
      <c r="N139" s="1419"/>
      <c r="O139" s="1419"/>
      <c r="P139" s="1419"/>
      <c r="Q139" s="1419"/>
    </row>
    <row r="140" spans="1:17" ht="15">
      <c r="A140" s="2595" t="s">
        <v>653</v>
      </c>
      <c r="B140" s="2595"/>
      <c r="C140" s="2595"/>
      <c r="D140" s="1419"/>
      <c r="E140" s="1422" t="s">
        <v>654</v>
      </c>
      <c r="F140" s="1419"/>
      <c r="G140" s="1421"/>
      <c r="H140" s="1416"/>
      <c r="I140" s="1416"/>
      <c r="J140" s="1416"/>
      <c r="K140" s="1416"/>
      <c r="L140" s="1416"/>
      <c r="M140" s="1419"/>
      <c r="N140" s="1419"/>
      <c r="O140" s="1419"/>
      <c r="P140" s="1419"/>
      <c r="Q140" s="1419"/>
    </row>
    <row r="141" spans="1:17" ht="14.25">
      <c r="A141" s="1419"/>
      <c r="B141" s="1420"/>
      <c r="C141" s="1419"/>
      <c r="D141" s="1419"/>
      <c r="E141" s="1419"/>
      <c r="F141" s="1419"/>
      <c r="G141" s="1421"/>
      <c r="H141" s="1416"/>
      <c r="I141" s="1416"/>
      <c r="J141" s="1416"/>
      <c r="K141" s="1416"/>
      <c r="L141" s="1416"/>
      <c r="M141" s="1419"/>
      <c r="N141" s="1419"/>
      <c r="O141" s="1419"/>
      <c r="P141" s="1419"/>
      <c r="Q141" s="1419"/>
    </row>
    <row r="142" spans="1:17" ht="15">
      <c r="A142" s="2595" t="s">
        <v>655</v>
      </c>
      <c r="B142" s="2596"/>
      <c r="C142" s="2596"/>
      <c r="D142" s="1419"/>
      <c r="E142" s="2597" t="s">
        <v>1091</v>
      </c>
      <c r="F142" s="2596"/>
      <c r="G142" s="2596"/>
      <c r="H142" s="2596"/>
      <c r="I142" s="2596"/>
      <c r="J142" s="1416"/>
      <c r="K142" s="1416"/>
      <c r="L142" s="1416"/>
      <c r="M142" s="1419"/>
      <c r="N142" s="1464"/>
      <c r="O142" s="1419"/>
      <c r="P142" s="1419"/>
      <c r="Q142" s="1419"/>
    </row>
    <row r="143" spans="1:17" ht="14.25">
      <c r="A143" s="1419"/>
      <c r="B143" s="1420"/>
      <c r="C143" s="1419"/>
      <c r="D143" s="1419"/>
      <c r="E143" s="1419"/>
      <c r="F143" s="1419"/>
      <c r="G143" s="1419"/>
      <c r="H143" s="1416"/>
      <c r="I143" s="1416"/>
      <c r="J143" s="1416"/>
      <c r="K143" s="1416"/>
      <c r="L143" s="1416"/>
      <c r="M143" s="1419"/>
      <c r="N143" s="1419"/>
      <c r="O143" s="1419"/>
      <c r="P143" s="1419"/>
      <c r="Q143" s="1419"/>
    </row>
    <row r="144" spans="1:17" ht="409.5">
      <c r="A144" s="1438"/>
      <c r="B144" s="1465" t="s">
        <v>657</v>
      </c>
      <c r="C144" s="2826" t="s">
        <v>587</v>
      </c>
      <c r="D144" s="2827"/>
      <c r="E144" s="2827"/>
      <c r="F144" s="2828"/>
      <c r="G144" s="1466" t="s">
        <v>658</v>
      </c>
      <c r="H144" s="2826" t="s">
        <v>659</v>
      </c>
      <c r="I144" s="2827"/>
      <c r="J144" s="2828"/>
      <c r="K144" s="1466" t="s">
        <v>660</v>
      </c>
      <c r="L144" s="1466" t="s">
        <v>661</v>
      </c>
      <c r="M144" s="1466" t="s">
        <v>662</v>
      </c>
      <c r="N144" s="1466" t="s">
        <v>663</v>
      </c>
      <c r="O144" s="1466" t="s">
        <v>664</v>
      </c>
      <c r="P144" s="1466" t="s">
        <v>765</v>
      </c>
      <c r="Q144" s="1466" t="s">
        <v>766</v>
      </c>
    </row>
    <row r="145" spans="1:17" ht="153">
      <c r="A145" s="1440"/>
      <c r="B145" s="1442">
        <v>1</v>
      </c>
      <c r="C145" s="2801" t="s">
        <v>1092</v>
      </c>
      <c r="D145" s="2802"/>
      <c r="E145" s="2802"/>
      <c r="F145" s="2803"/>
      <c r="G145" s="1467" t="s">
        <v>1093</v>
      </c>
      <c r="H145" s="2784">
        <v>100000</v>
      </c>
      <c r="I145" s="2804"/>
      <c r="J145" s="2805"/>
      <c r="K145" s="1467" t="s">
        <v>676</v>
      </c>
      <c r="L145" s="1442">
        <v>99600</v>
      </c>
      <c r="M145" s="1467" t="s">
        <v>676</v>
      </c>
      <c r="N145" s="1467" t="s">
        <v>1094</v>
      </c>
      <c r="O145" s="1467" t="s">
        <v>1095</v>
      </c>
      <c r="P145" s="1467" t="s">
        <v>1096</v>
      </c>
      <c r="Q145" s="1467" t="s">
        <v>704</v>
      </c>
    </row>
    <row r="146" spans="1:17" ht="38.25">
      <c r="A146" s="1440"/>
      <c r="B146" s="1442">
        <v>2</v>
      </c>
      <c r="C146" s="2801" t="s">
        <v>1097</v>
      </c>
      <c r="D146" s="2802"/>
      <c r="E146" s="2802"/>
      <c r="F146" s="2803"/>
      <c r="G146" s="1467" t="s">
        <v>1098</v>
      </c>
      <c r="H146" s="2784">
        <v>41666</v>
      </c>
      <c r="I146" s="2804"/>
      <c r="J146" s="2805"/>
      <c r="K146" s="1467" t="s">
        <v>676</v>
      </c>
      <c r="L146" s="1442">
        <v>41583</v>
      </c>
      <c r="M146" s="1467" t="s">
        <v>676</v>
      </c>
      <c r="N146" s="1467" t="s">
        <v>909</v>
      </c>
      <c r="O146" s="1467" t="s">
        <v>910</v>
      </c>
      <c r="P146" s="1467" t="s">
        <v>1099</v>
      </c>
      <c r="Q146" s="1467" t="s">
        <v>673</v>
      </c>
    </row>
    <row r="147" spans="1:17" ht="242.25">
      <c r="A147" s="1440"/>
      <c r="B147" s="1442">
        <v>3</v>
      </c>
      <c r="C147" s="2801" t="s">
        <v>1100</v>
      </c>
      <c r="D147" s="2802"/>
      <c r="E147" s="2802"/>
      <c r="F147" s="2803"/>
      <c r="G147" s="1467" t="s">
        <v>1101</v>
      </c>
      <c r="H147" s="2784">
        <v>66666</v>
      </c>
      <c r="I147" s="2804"/>
      <c r="J147" s="2805"/>
      <c r="K147" s="1467" t="s">
        <v>676</v>
      </c>
      <c r="L147" s="1442">
        <v>66666</v>
      </c>
      <c r="M147" s="1467" t="s">
        <v>676</v>
      </c>
      <c r="N147" s="1467" t="s">
        <v>1102</v>
      </c>
      <c r="O147" s="1467" t="s">
        <v>1103</v>
      </c>
      <c r="P147" s="1467" t="s">
        <v>1104</v>
      </c>
      <c r="Q147" s="1467" t="s">
        <v>704</v>
      </c>
    </row>
    <row r="148" spans="1:17" ht="153">
      <c r="A148" s="1440"/>
      <c r="B148" s="1442">
        <v>4</v>
      </c>
      <c r="C148" s="2801" t="s">
        <v>1105</v>
      </c>
      <c r="D148" s="2802"/>
      <c r="E148" s="2802"/>
      <c r="F148" s="2803"/>
      <c r="G148" s="1467" t="s">
        <v>1106</v>
      </c>
      <c r="H148" s="2784">
        <v>100000</v>
      </c>
      <c r="I148" s="2804"/>
      <c r="J148" s="2805"/>
      <c r="K148" s="1467" t="s">
        <v>676</v>
      </c>
      <c r="L148" s="1442">
        <v>99666</v>
      </c>
      <c r="M148" s="1467" t="s">
        <v>676</v>
      </c>
      <c r="N148" s="1467" t="s">
        <v>1107</v>
      </c>
      <c r="O148" s="1467" t="s">
        <v>1108</v>
      </c>
      <c r="P148" s="1467" t="s">
        <v>1109</v>
      </c>
      <c r="Q148" s="1467" t="s">
        <v>673</v>
      </c>
    </row>
    <row r="149" spans="1:17" ht="178.5">
      <c r="A149" s="1440"/>
      <c r="B149" s="1442">
        <v>5</v>
      </c>
      <c r="C149" s="2801" t="s">
        <v>1110</v>
      </c>
      <c r="D149" s="2802"/>
      <c r="E149" s="2802"/>
      <c r="F149" s="2803"/>
      <c r="G149" s="1467" t="s">
        <v>1111</v>
      </c>
      <c r="H149" s="2784">
        <v>41666</v>
      </c>
      <c r="I149" s="2804"/>
      <c r="J149" s="2805"/>
      <c r="K149" s="1467" t="s">
        <v>676</v>
      </c>
      <c r="L149" s="1442">
        <v>41000</v>
      </c>
      <c r="M149" s="1467" t="s">
        <v>676</v>
      </c>
      <c r="N149" s="1467" t="s">
        <v>1112</v>
      </c>
      <c r="O149" s="1467" t="s">
        <v>1113</v>
      </c>
      <c r="P149" s="1467" t="s">
        <v>1114</v>
      </c>
      <c r="Q149" s="1467" t="s">
        <v>673</v>
      </c>
    </row>
    <row r="150" spans="1:17" ht="63.75">
      <c r="A150" s="1440"/>
      <c r="B150" s="1442">
        <v>6</v>
      </c>
      <c r="C150" s="2801" t="s">
        <v>1115</v>
      </c>
      <c r="D150" s="2802"/>
      <c r="E150" s="2802"/>
      <c r="F150" s="2803"/>
      <c r="G150" s="1467" t="s">
        <v>699</v>
      </c>
      <c r="H150" s="2784">
        <v>333333</v>
      </c>
      <c r="I150" s="2804"/>
      <c r="J150" s="2805"/>
      <c r="K150" s="1467" t="s">
        <v>688</v>
      </c>
      <c r="L150" s="1442">
        <v>282500</v>
      </c>
      <c r="M150" s="1467" t="s">
        <v>1116</v>
      </c>
      <c r="N150" s="1467" t="s">
        <v>909</v>
      </c>
      <c r="O150" s="1467" t="s">
        <v>910</v>
      </c>
      <c r="P150" s="1467" t="s">
        <v>1117</v>
      </c>
      <c r="Q150" s="1467" t="s">
        <v>704</v>
      </c>
    </row>
    <row r="151" spans="1:17" ht="191.25">
      <c r="A151" s="1440"/>
      <c r="B151" s="1442">
        <v>7</v>
      </c>
      <c r="C151" s="2801" t="s">
        <v>1118</v>
      </c>
      <c r="D151" s="2802"/>
      <c r="E151" s="2802"/>
      <c r="F151" s="2803"/>
      <c r="G151" s="1467" t="s">
        <v>1119</v>
      </c>
      <c r="H151" s="2784">
        <v>100000</v>
      </c>
      <c r="I151" s="2804"/>
      <c r="J151" s="2805"/>
      <c r="K151" s="1467" t="s">
        <v>676</v>
      </c>
      <c r="L151" s="1442">
        <v>34450</v>
      </c>
      <c r="M151" s="1467" t="s">
        <v>676</v>
      </c>
      <c r="N151" s="1467" t="s">
        <v>1120</v>
      </c>
      <c r="O151" s="1467" t="s">
        <v>1121</v>
      </c>
      <c r="P151" s="1467" t="s">
        <v>1122</v>
      </c>
      <c r="Q151" s="1467" t="s">
        <v>673</v>
      </c>
    </row>
    <row r="152" spans="1:17" ht="153">
      <c r="A152" s="1440"/>
      <c r="B152" s="1442">
        <v>8</v>
      </c>
      <c r="C152" s="2801" t="s">
        <v>1123</v>
      </c>
      <c r="D152" s="2802"/>
      <c r="E152" s="2802"/>
      <c r="F152" s="2803"/>
      <c r="G152" s="1467" t="s">
        <v>1124</v>
      </c>
      <c r="H152" s="2784">
        <v>100000</v>
      </c>
      <c r="I152" s="2804"/>
      <c r="J152" s="2805"/>
      <c r="K152" s="1467" t="s">
        <v>676</v>
      </c>
      <c r="L152" s="1442">
        <v>32300</v>
      </c>
      <c r="M152" s="1467" t="s">
        <v>676</v>
      </c>
      <c r="N152" s="1467" t="s">
        <v>1125</v>
      </c>
      <c r="O152" s="1467" t="s">
        <v>1126</v>
      </c>
      <c r="P152" s="1467" t="s">
        <v>1127</v>
      </c>
      <c r="Q152" s="1467" t="s">
        <v>673</v>
      </c>
    </row>
    <row r="153" spans="1:17" ht="140.25">
      <c r="A153" s="1440"/>
      <c r="B153" s="1442">
        <v>9</v>
      </c>
      <c r="C153" s="2801" t="s">
        <v>1128</v>
      </c>
      <c r="D153" s="2802"/>
      <c r="E153" s="2802"/>
      <c r="F153" s="2803"/>
      <c r="G153" s="1467" t="s">
        <v>1129</v>
      </c>
      <c r="H153" s="2784">
        <v>100000</v>
      </c>
      <c r="I153" s="2804"/>
      <c r="J153" s="2805"/>
      <c r="K153" s="1467" t="s">
        <v>676</v>
      </c>
      <c r="L153" s="1442">
        <v>99900</v>
      </c>
      <c r="M153" s="1467" t="s">
        <v>676</v>
      </c>
      <c r="N153" s="1467" t="s">
        <v>1130</v>
      </c>
      <c r="O153" s="1467" t="s">
        <v>1131</v>
      </c>
      <c r="P153" s="1467" t="s">
        <v>1132</v>
      </c>
      <c r="Q153" s="1467" t="s">
        <v>673</v>
      </c>
    </row>
    <row r="154" spans="1:17" ht="63.75">
      <c r="A154" s="1440"/>
      <c r="B154" s="1442">
        <v>10</v>
      </c>
      <c r="C154" s="2801" t="s">
        <v>1133</v>
      </c>
      <c r="D154" s="2802"/>
      <c r="E154" s="2802"/>
      <c r="F154" s="2803"/>
      <c r="G154" s="1467" t="s">
        <v>1134</v>
      </c>
      <c r="H154" s="2784">
        <v>41666</v>
      </c>
      <c r="I154" s="2804"/>
      <c r="J154" s="2805"/>
      <c r="K154" s="1467" t="s">
        <v>676</v>
      </c>
      <c r="L154" s="1442">
        <v>41600</v>
      </c>
      <c r="M154" s="1467" t="s">
        <v>676</v>
      </c>
      <c r="N154" s="1467" t="s">
        <v>909</v>
      </c>
      <c r="O154" s="1467" t="s">
        <v>910</v>
      </c>
      <c r="P154" s="1467" t="s">
        <v>1135</v>
      </c>
      <c r="Q154" s="1467" t="s">
        <v>704</v>
      </c>
    </row>
    <row r="155" spans="1:17" ht="178.5">
      <c r="A155" s="1440"/>
      <c r="B155" s="2784">
        <v>11</v>
      </c>
      <c r="C155" s="2801" t="s">
        <v>1136</v>
      </c>
      <c r="D155" s="2808"/>
      <c r="E155" s="2808"/>
      <c r="F155" s="2809"/>
      <c r="G155" s="2801" t="s">
        <v>1137</v>
      </c>
      <c r="H155" s="2784">
        <v>3333333</v>
      </c>
      <c r="I155" s="2818"/>
      <c r="J155" s="2819"/>
      <c r="K155" s="2801" t="s">
        <v>892</v>
      </c>
      <c r="L155" s="1442">
        <v>1073000</v>
      </c>
      <c r="M155" s="1467" t="s">
        <v>1138</v>
      </c>
      <c r="N155" s="1467" t="s">
        <v>1139</v>
      </c>
      <c r="O155" s="1467" t="s">
        <v>1140</v>
      </c>
      <c r="P155" s="1467" t="s">
        <v>1141</v>
      </c>
      <c r="Q155" s="1467" t="s">
        <v>673</v>
      </c>
    </row>
    <row r="156" spans="1:17" ht="178.5">
      <c r="A156" s="1440"/>
      <c r="B156" s="2806"/>
      <c r="C156" s="2810"/>
      <c r="D156" s="2811"/>
      <c r="E156" s="2811"/>
      <c r="F156" s="2812"/>
      <c r="G156" s="2816"/>
      <c r="H156" s="2820"/>
      <c r="I156" s="2821"/>
      <c r="J156" s="2822"/>
      <c r="K156" s="2816"/>
      <c r="L156" s="1442">
        <v>1430500</v>
      </c>
      <c r="M156" s="1467" t="s">
        <v>1138</v>
      </c>
      <c r="N156" s="1467" t="s">
        <v>1139</v>
      </c>
      <c r="O156" s="1467" t="s">
        <v>1140</v>
      </c>
      <c r="P156" s="1467" t="s">
        <v>1141</v>
      </c>
      <c r="Q156" s="1467" t="s">
        <v>673</v>
      </c>
    </row>
    <row r="157" spans="1:17" ht="178.5">
      <c r="A157" s="1440"/>
      <c r="B157" s="2807"/>
      <c r="C157" s="2813"/>
      <c r="D157" s="2814"/>
      <c r="E157" s="2814"/>
      <c r="F157" s="2815"/>
      <c r="G157" s="2817"/>
      <c r="H157" s="2823"/>
      <c r="I157" s="2824"/>
      <c r="J157" s="2825"/>
      <c r="K157" s="2817"/>
      <c r="L157" s="1442">
        <v>825000</v>
      </c>
      <c r="M157" s="1467" t="s">
        <v>1138</v>
      </c>
      <c r="N157" s="1467" t="s">
        <v>1139</v>
      </c>
      <c r="O157" s="1467" t="s">
        <v>1140</v>
      </c>
      <c r="P157" s="1467" t="s">
        <v>1141</v>
      </c>
      <c r="Q157" s="1467" t="s">
        <v>673</v>
      </c>
    </row>
    <row r="158" spans="1:17" ht="178.5">
      <c r="A158" s="1440"/>
      <c r="B158" s="1442">
        <v>12</v>
      </c>
      <c r="C158" s="2801" t="s">
        <v>1142</v>
      </c>
      <c r="D158" s="2802"/>
      <c r="E158" s="2802"/>
      <c r="F158" s="2803"/>
      <c r="G158" s="1467" t="s">
        <v>749</v>
      </c>
      <c r="H158" s="2784">
        <v>100000</v>
      </c>
      <c r="I158" s="2804"/>
      <c r="J158" s="2805"/>
      <c r="K158" s="1467" t="s">
        <v>676</v>
      </c>
      <c r="L158" s="1442">
        <v>100000</v>
      </c>
      <c r="M158" s="1467" t="s">
        <v>676</v>
      </c>
      <c r="N158" s="1467" t="s">
        <v>1143</v>
      </c>
      <c r="O158" s="1467" t="s">
        <v>1144</v>
      </c>
      <c r="P158" s="1467" t="s">
        <v>1145</v>
      </c>
      <c r="Q158" s="1467" t="s">
        <v>673</v>
      </c>
    </row>
    <row r="159" spans="1:17" ht="140.25">
      <c r="A159" s="1440"/>
      <c r="B159" s="1442">
        <v>13</v>
      </c>
      <c r="C159" s="2801" t="s">
        <v>1146</v>
      </c>
      <c r="D159" s="2802"/>
      <c r="E159" s="2802"/>
      <c r="F159" s="2803"/>
      <c r="G159" s="1467" t="s">
        <v>727</v>
      </c>
      <c r="H159" s="2784">
        <v>100000</v>
      </c>
      <c r="I159" s="2804"/>
      <c r="J159" s="2805"/>
      <c r="K159" s="1467" t="s">
        <v>676</v>
      </c>
      <c r="L159" s="1442">
        <v>99800</v>
      </c>
      <c r="M159" s="1467" t="s">
        <v>676</v>
      </c>
      <c r="N159" s="1467" t="s">
        <v>1130</v>
      </c>
      <c r="O159" s="1467" t="s">
        <v>1131</v>
      </c>
      <c r="P159" s="1467" t="s">
        <v>1147</v>
      </c>
      <c r="Q159" s="1467" t="s">
        <v>673</v>
      </c>
    </row>
    <row r="160" spans="1:17" ht="114.75">
      <c r="A160" s="1440"/>
      <c r="B160" s="1442">
        <v>14</v>
      </c>
      <c r="C160" s="2801" t="s">
        <v>1148</v>
      </c>
      <c r="D160" s="2802"/>
      <c r="E160" s="2802"/>
      <c r="F160" s="2803"/>
      <c r="G160" s="1467" t="s">
        <v>727</v>
      </c>
      <c r="H160" s="2784">
        <v>100000</v>
      </c>
      <c r="I160" s="2804"/>
      <c r="J160" s="2805"/>
      <c r="K160" s="1467" t="s">
        <v>676</v>
      </c>
      <c r="L160" s="1442">
        <v>100000</v>
      </c>
      <c r="M160" s="1467" t="s">
        <v>676</v>
      </c>
      <c r="N160" s="1467" t="s">
        <v>1149</v>
      </c>
      <c r="O160" s="1467" t="s">
        <v>1150</v>
      </c>
      <c r="P160" s="1467" t="s">
        <v>1151</v>
      </c>
      <c r="Q160" s="1467" t="s">
        <v>704</v>
      </c>
    </row>
    <row r="161" spans="1:17" ht="178.5">
      <c r="A161" s="1440"/>
      <c r="B161" s="1442">
        <v>15</v>
      </c>
      <c r="C161" s="2801" t="s">
        <v>1152</v>
      </c>
      <c r="D161" s="2802"/>
      <c r="E161" s="2802"/>
      <c r="F161" s="2803"/>
      <c r="G161" s="1467" t="s">
        <v>727</v>
      </c>
      <c r="H161" s="2784">
        <v>100000</v>
      </c>
      <c r="I161" s="2804"/>
      <c r="J161" s="2805"/>
      <c r="K161" s="1467" t="s">
        <v>676</v>
      </c>
      <c r="L161" s="1442">
        <v>99950</v>
      </c>
      <c r="M161" s="1467" t="s">
        <v>676</v>
      </c>
      <c r="N161" s="1467" t="s">
        <v>1153</v>
      </c>
      <c r="O161" s="1467" t="s">
        <v>1154</v>
      </c>
      <c r="P161" s="1467" t="s">
        <v>1155</v>
      </c>
      <c r="Q161" s="1467" t="s">
        <v>704</v>
      </c>
    </row>
    <row r="162" spans="1:17" ht="178.5">
      <c r="A162" s="1440"/>
      <c r="B162" s="1442">
        <v>16</v>
      </c>
      <c r="C162" s="2801" t="s">
        <v>1156</v>
      </c>
      <c r="D162" s="2802"/>
      <c r="E162" s="2802"/>
      <c r="F162" s="2803"/>
      <c r="G162" s="1467" t="s">
        <v>1093</v>
      </c>
      <c r="H162" s="2784">
        <v>150833</v>
      </c>
      <c r="I162" s="2804"/>
      <c r="J162" s="2805"/>
      <c r="K162" s="1467" t="s">
        <v>688</v>
      </c>
      <c r="L162" s="1442">
        <v>132500</v>
      </c>
      <c r="M162" s="1467" t="s">
        <v>1157</v>
      </c>
      <c r="N162" s="1467" t="s">
        <v>1158</v>
      </c>
      <c r="O162" s="1467" t="s">
        <v>1159</v>
      </c>
      <c r="P162" s="1467" t="s">
        <v>1160</v>
      </c>
      <c r="Q162" s="1467" t="s">
        <v>704</v>
      </c>
    </row>
    <row r="163" spans="1:17" ht="242.25">
      <c r="A163" s="1440"/>
      <c r="B163" s="1442">
        <v>17</v>
      </c>
      <c r="C163" s="2801" t="s">
        <v>1161</v>
      </c>
      <c r="D163" s="2802"/>
      <c r="E163" s="2802"/>
      <c r="F163" s="2803"/>
      <c r="G163" s="1467" t="s">
        <v>1162</v>
      </c>
      <c r="H163" s="2784">
        <v>100000</v>
      </c>
      <c r="I163" s="2804"/>
      <c r="J163" s="2805"/>
      <c r="K163" s="1467" t="s">
        <v>676</v>
      </c>
      <c r="L163" s="1442">
        <v>100000</v>
      </c>
      <c r="M163" s="1467" t="s">
        <v>676</v>
      </c>
      <c r="N163" s="1467" t="s">
        <v>1163</v>
      </c>
      <c r="O163" s="1467" t="s">
        <v>1164</v>
      </c>
      <c r="P163" s="1467" t="s">
        <v>1165</v>
      </c>
      <c r="Q163" s="1467" t="s">
        <v>704</v>
      </c>
    </row>
    <row r="164" spans="1:17" ht="178.5">
      <c r="A164" s="1440"/>
      <c r="B164" s="1442">
        <v>18</v>
      </c>
      <c r="C164" s="2801" t="s">
        <v>1166</v>
      </c>
      <c r="D164" s="2802"/>
      <c r="E164" s="2802"/>
      <c r="F164" s="2803"/>
      <c r="G164" s="1467" t="s">
        <v>1167</v>
      </c>
      <c r="H164" s="2784">
        <v>50000</v>
      </c>
      <c r="I164" s="2804"/>
      <c r="J164" s="2805"/>
      <c r="K164" s="1467" t="s">
        <v>676</v>
      </c>
      <c r="L164" s="1442">
        <v>50000</v>
      </c>
      <c r="M164" s="1467" t="s">
        <v>676</v>
      </c>
      <c r="N164" s="1467" t="s">
        <v>1168</v>
      </c>
      <c r="O164" s="1467" t="s">
        <v>1169</v>
      </c>
      <c r="P164" s="1467" t="s">
        <v>1170</v>
      </c>
      <c r="Q164" s="1467" t="s">
        <v>673</v>
      </c>
    </row>
    <row r="165" spans="1:17" ht="178.5">
      <c r="A165" s="1440"/>
      <c r="B165" s="1442">
        <v>19</v>
      </c>
      <c r="C165" s="2801" t="s">
        <v>1171</v>
      </c>
      <c r="D165" s="2802"/>
      <c r="E165" s="2802"/>
      <c r="F165" s="2803"/>
      <c r="G165" s="1467" t="s">
        <v>1172</v>
      </c>
      <c r="H165" s="2784">
        <v>600000</v>
      </c>
      <c r="I165" s="2804"/>
      <c r="J165" s="2805"/>
      <c r="K165" s="1467"/>
      <c r="L165" s="1442">
        <v>600000</v>
      </c>
      <c r="M165" s="1467" t="s">
        <v>1173</v>
      </c>
      <c r="N165" s="1467" t="s">
        <v>1139</v>
      </c>
      <c r="O165" s="1467" t="s">
        <v>1140</v>
      </c>
      <c r="P165" s="1467" t="s">
        <v>1174</v>
      </c>
      <c r="Q165" s="1467" t="s">
        <v>673</v>
      </c>
    </row>
    <row r="166" spans="1:17" ht="178.5">
      <c r="A166" s="1440"/>
      <c r="B166" s="1442">
        <v>20</v>
      </c>
      <c r="C166" s="2801" t="s">
        <v>1175</v>
      </c>
      <c r="D166" s="2802"/>
      <c r="E166" s="2802"/>
      <c r="F166" s="2803"/>
      <c r="G166" s="1467" t="s">
        <v>1176</v>
      </c>
      <c r="H166" s="2784">
        <v>280000</v>
      </c>
      <c r="I166" s="2804"/>
      <c r="J166" s="2805"/>
      <c r="K166" s="1467"/>
      <c r="L166" s="1442">
        <v>280000</v>
      </c>
      <c r="M166" s="1468">
        <v>43221</v>
      </c>
      <c r="N166" s="1467" t="s">
        <v>1177</v>
      </c>
      <c r="O166" s="1467" t="s">
        <v>1178</v>
      </c>
      <c r="P166" s="1467"/>
      <c r="Q166" s="1467" t="s">
        <v>673</v>
      </c>
    </row>
    <row r="167" spans="1:17" ht="15">
      <c r="A167" s="1440"/>
      <c r="B167" s="1469"/>
      <c r="C167" s="2645" t="s">
        <v>761</v>
      </c>
      <c r="D167" s="2646"/>
      <c r="E167" s="2646"/>
      <c r="F167" s="2647"/>
      <c r="G167" s="1470"/>
      <c r="H167" s="2590">
        <f>SUM(H145:J166)</f>
        <v>5939163</v>
      </c>
      <c r="I167" s="2799"/>
      <c r="J167" s="2800"/>
      <c r="K167" s="1433"/>
      <c r="L167" s="1433">
        <f>SUM(L145:L166)</f>
        <v>5730015</v>
      </c>
      <c r="M167" s="1471"/>
      <c r="N167" s="1436"/>
      <c r="O167" s="1436"/>
      <c r="P167" s="1436"/>
      <c r="Q167" s="1436"/>
    </row>
    <row r="168" spans="1:17" ht="15">
      <c r="A168" s="1419"/>
      <c r="B168" s="1472"/>
      <c r="C168" s="1473"/>
      <c r="D168" s="1473"/>
      <c r="E168" s="1473"/>
      <c r="F168" s="1473"/>
      <c r="G168" s="1474"/>
      <c r="H168" s="1475"/>
      <c r="I168" s="1416"/>
      <c r="J168" s="1416"/>
      <c r="K168" s="1475"/>
      <c r="L168" s="1475"/>
      <c r="M168" s="1476"/>
      <c r="N168" s="1437" t="s">
        <v>762</v>
      </c>
      <c r="O168" s="1473"/>
      <c r="P168" s="1419"/>
      <c r="Q168" s="1419"/>
    </row>
    <row r="169" spans="1:17" ht="15">
      <c r="A169" s="1419"/>
      <c r="B169" s="1472"/>
      <c r="C169" s="1473"/>
      <c r="D169" s="1473"/>
      <c r="E169" s="1473"/>
      <c r="F169" s="1473"/>
      <c r="G169" s="1474"/>
      <c r="H169" s="1475"/>
      <c r="I169" s="1416"/>
      <c r="J169" s="1416"/>
      <c r="K169" s="1475"/>
      <c r="L169" s="1475"/>
      <c r="M169" s="1476"/>
      <c r="N169" s="1437" t="s">
        <v>763</v>
      </c>
      <c r="O169" s="1473"/>
      <c r="P169" s="1419"/>
      <c r="Q169" s="1419"/>
    </row>
    <row r="170" spans="1:17" ht="23.25">
      <c r="A170" s="2593" t="s">
        <v>652</v>
      </c>
      <c r="B170" s="2593"/>
      <c r="C170" s="2593"/>
      <c r="D170" s="2593"/>
      <c r="E170" s="2593"/>
      <c r="F170" s="2593"/>
      <c r="G170" s="2593"/>
      <c r="H170" s="2593"/>
      <c r="I170" s="1416"/>
      <c r="J170" s="1416"/>
      <c r="K170" s="1416"/>
      <c r="L170" s="1416"/>
      <c r="M170" s="1419"/>
      <c r="N170" s="1419"/>
      <c r="O170" s="1419"/>
      <c r="P170" s="1419"/>
      <c r="Q170" s="1419"/>
    </row>
    <row r="171" spans="1:17" ht="14.25">
      <c r="A171" s="1419"/>
      <c r="B171" s="1420"/>
      <c r="C171" s="1419"/>
      <c r="D171" s="1419"/>
      <c r="E171" s="1419"/>
      <c r="F171" s="1419"/>
      <c r="G171" s="1421"/>
      <c r="H171" s="1416"/>
      <c r="I171" s="1416"/>
      <c r="J171" s="1416"/>
      <c r="K171" s="1416"/>
      <c r="L171" s="1416"/>
      <c r="M171" s="1419"/>
      <c r="N171" s="1419"/>
      <c r="O171" s="1419"/>
      <c r="P171" s="1419"/>
      <c r="Q171" s="1419"/>
    </row>
    <row r="172" spans="1:17" ht="15">
      <c r="A172" s="2595" t="s">
        <v>653</v>
      </c>
      <c r="B172" s="2595"/>
      <c r="C172" s="2595"/>
      <c r="D172" s="1419"/>
      <c r="E172" s="1422" t="s">
        <v>654</v>
      </c>
      <c r="F172" s="1419"/>
      <c r="G172" s="1421"/>
      <c r="H172" s="1416"/>
      <c r="I172" s="1416"/>
      <c r="J172" s="1416"/>
      <c r="K172" s="1416"/>
      <c r="L172" s="1416"/>
      <c r="M172" s="1419"/>
      <c r="N172" s="1419"/>
      <c r="O172" s="1419"/>
      <c r="P172" s="1419"/>
      <c r="Q172" s="1419"/>
    </row>
    <row r="173" spans="1:17" ht="14.25">
      <c r="A173" s="1419"/>
      <c r="B173" s="1420"/>
      <c r="C173" s="1419"/>
      <c r="D173" s="1419"/>
      <c r="E173" s="1419"/>
      <c r="F173" s="1419"/>
      <c r="G173" s="1421"/>
      <c r="H173" s="1416"/>
      <c r="I173" s="1416"/>
      <c r="J173" s="1416"/>
      <c r="K173" s="1416"/>
      <c r="L173" s="1416"/>
      <c r="M173" s="1419"/>
      <c r="N173" s="1419"/>
      <c r="O173" s="1419"/>
      <c r="P173" s="1419"/>
      <c r="Q173" s="1419"/>
    </row>
    <row r="174" spans="1:17" ht="14.25">
      <c r="A174" s="2595" t="s">
        <v>655</v>
      </c>
      <c r="B174" s="2596"/>
      <c r="C174" s="2596"/>
      <c r="D174" s="1419"/>
      <c r="E174" s="2597" t="s">
        <v>1179</v>
      </c>
      <c r="F174" s="2596"/>
      <c r="G174" s="2596"/>
      <c r="H174" s="2596"/>
      <c r="I174" s="2596"/>
      <c r="J174" s="1416"/>
      <c r="K174" s="1416"/>
      <c r="L174" s="1416"/>
      <c r="M174" s="1419"/>
      <c r="N174" s="1419"/>
      <c r="O174" s="1419"/>
      <c r="P174" s="1419"/>
      <c r="Q174" s="1419"/>
    </row>
    <row r="175" spans="1:17" ht="14.25">
      <c r="A175" s="1419"/>
      <c r="B175" s="1420"/>
      <c r="C175" s="1419"/>
      <c r="D175" s="1419"/>
      <c r="E175" s="1419"/>
      <c r="F175" s="1419"/>
      <c r="G175" s="1419"/>
      <c r="H175" s="1416"/>
      <c r="I175" s="1416"/>
      <c r="J175" s="1416"/>
      <c r="K175" s="1416"/>
      <c r="L175" s="1416"/>
      <c r="M175" s="1419"/>
      <c r="N175" s="1419"/>
      <c r="O175" s="1419"/>
      <c r="P175" s="1419"/>
      <c r="Q175" s="1419"/>
    </row>
    <row r="176" spans="1:17" ht="408">
      <c r="A176" s="1438"/>
      <c r="B176" s="1439" t="s">
        <v>657</v>
      </c>
      <c r="C176" s="2787" t="s">
        <v>587</v>
      </c>
      <c r="D176" s="2788"/>
      <c r="E176" s="2788"/>
      <c r="F176" s="2789"/>
      <c r="G176" s="1439" t="s">
        <v>658</v>
      </c>
      <c r="H176" s="2787" t="s">
        <v>659</v>
      </c>
      <c r="I176" s="2788"/>
      <c r="J176" s="2789"/>
      <c r="K176" s="1439" t="s">
        <v>660</v>
      </c>
      <c r="L176" s="1439" t="s">
        <v>661</v>
      </c>
      <c r="M176" s="1439" t="s">
        <v>662</v>
      </c>
      <c r="N176" s="1439" t="s">
        <v>663</v>
      </c>
      <c r="O176" s="1439" t="s">
        <v>664</v>
      </c>
      <c r="P176" s="1439" t="s">
        <v>765</v>
      </c>
      <c r="Q176" s="1439" t="s">
        <v>766</v>
      </c>
    </row>
    <row r="177" spans="1:17" ht="153">
      <c r="A177" s="1440"/>
      <c r="B177" s="1441">
        <v>1</v>
      </c>
      <c r="C177" s="2781" t="s">
        <v>1180</v>
      </c>
      <c r="D177" s="2782"/>
      <c r="E177" s="2782"/>
      <c r="F177" s="2783"/>
      <c r="G177" s="1441" t="s">
        <v>699</v>
      </c>
      <c r="H177" s="2784">
        <v>83333</v>
      </c>
      <c r="I177" s="2785"/>
      <c r="J177" s="2786"/>
      <c r="K177" s="1442" t="s">
        <v>676</v>
      </c>
      <c r="L177" s="1442">
        <v>47190</v>
      </c>
      <c r="M177" s="1441" t="s">
        <v>676</v>
      </c>
      <c r="N177" s="1441" t="s">
        <v>861</v>
      </c>
      <c r="O177" s="1441" t="s">
        <v>862</v>
      </c>
      <c r="P177" s="1441" t="s">
        <v>1181</v>
      </c>
      <c r="Q177" s="1441" t="s">
        <v>673</v>
      </c>
    </row>
    <row r="178" spans="1:17" ht="153">
      <c r="A178" s="1440"/>
      <c r="B178" s="1441">
        <v>2</v>
      </c>
      <c r="C178" s="2781" t="s">
        <v>1182</v>
      </c>
      <c r="D178" s="2782"/>
      <c r="E178" s="2782"/>
      <c r="F178" s="2783"/>
      <c r="G178" s="1441" t="s">
        <v>1183</v>
      </c>
      <c r="H178" s="2784">
        <v>800000</v>
      </c>
      <c r="I178" s="2785"/>
      <c r="J178" s="2786"/>
      <c r="K178" s="1442" t="s">
        <v>688</v>
      </c>
      <c r="L178" s="1442">
        <v>677000</v>
      </c>
      <c r="M178" s="1441" t="s">
        <v>1184</v>
      </c>
      <c r="N178" s="1441" t="s">
        <v>778</v>
      </c>
      <c r="O178" s="1441" t="s">
        <v>779</v>
      </c>
      <c r="P178" s="1441" t="s">
        <v>1185</v>
      </c>
      <c r="Q178" s="1441" t="s">
        <v>673</v>
      </c>
    </row>
    <row r="179" spans="1:17" ht="153">
      <c r="A179" s="1440"/>
      <c r="B179" s="1441">
        <v>3</v>
      </c>
      <c r="C179" s="2781" t="s">
        <v>1186</v>
      </c>
      <c r="D179" s="2782"/>
      <c r="E179" s="2782"/>
      <c r="F179" s="2783"/>
      <c r="G179" s="1441" t="s">
        <v>749</v>
      </c>
      <c r="H179" s="2784">
        <v>100000</v>
      </c>
      <c r="I179" s="2785"/>
      <c r="J179" s="2786"/>
      <c r="K179" s="1442" t="s">
        <v>676</v>
      </c>
      <c r="L179" s="1442">
        <v>100000</v>
      </c>
      <c r="M179" s="1441" t="s">
        <v>676</v>
      </c>
      <c r="N179" s="1441" t="s">
        <v>778</v>
      </c>
      <c r="O179" s="1441" t="s">
        <v>779</v>
      </c>
      <c r="P179" s="1441" t="s">
        <v>1187</v>
      </c>
      <c r="Q179" s="1441" t="s">
        <v>673</v>
      </c>
    </row>
    <row r="180" spans="1:17" ht="153">
      <c r="A180" s="1440"/>
      <c r="B180" s="1441">
        <v>4</v>
      </c>
      <c r="C180" s="2781" t="s">
        <v>172</v>
      </c>
      <c r="D180" s="2782"/>
      <c r="E180" s="2782"/>
      <c r="F180" s="2783"/>
      <c r="G180" s="1441" t="s">
        <v>1093</v>
      </c>
      <c r="H180" s="2784">
        <v>100000</v>
      </c>
      <c r="I180" s="2785"/>
      <c r="J180" s="2786"/>
      <c r="K180" s="1442" t="s">
        <v>676</v>
      </c>
      <c r="L180" s="1442">
        <v>100000</v>
      </c>
      <c r="M180" s="1441" t="s">
        <v>676</v>
      </c>
      <c r="N180" s="1441" t="s">
        <v>778</v>
      </c>
      <c r="O180" s="1441" t="s">
        <v>779</v>
      </c>
      <c r="P180" s="1441" t="s">
        <v>1188</v>
      </c>
      <c r="Q180" s="1441" t="s">
        <v>673</v>
      </c>
    </row>
    <row r="181" spans="1:17" ht="165.75">
      <c r="A181" s="1440"/>
      <c r="B181" s="1441">
        <v>5</v>
      </c>
      <c r="C181" s="2781" t="s">
        <v>1189</v>
      </c>
      <c r="D181" s="2782"/>
      <c r="E181" s="2782"/>
      <c r="F181" s="2783"/>
      <c r="G181" s="1441" t="s">
        <v>1190</v>
      </c>
      <c r="H181" s="2784">
        <v>83333</v>
      </c>
      <c r="I181" s="2785"/>
      <c r="J181" s="2786"/>
      <c r="K181" s="1442" t="s">
        <v>676</v>
      </c>
      <c r="L181" s="1442">
        <v>83333</v>
      </c>
      <c r="M181" s="1441" t="s">
        <v>676</v>
      </c>
      <c r="N181" s="1441" t="s">
        <v>1191</v>
      </c>
      <c r="O181" s="1441" t="s">
        <v>1192</v>
      </c>
      <c r="P181" s="1441" t="s">
        <v>1193</v>
      </c>
      <c r="Q181" s="1441" t="s">
        <v>673</v>
      </c>
    </row>
    <row r="182" spans="1:17" ht="76.5">
      <c r="A182" s="1440"/>
      <c r="B182" s="1441">
        <v>6</v>
      </c>
      <c r="C182" s="2781" t="s">
        <v>1194</v>
      </c>
      <c r="D182" s="2782"/>
      <c r="E182" s="2782"/>
      <c r="F182" s="2783"/>
      <c r="G182" s="1441" t="s">
        <v>1093</v>
      </c>
      <c r="H182" s="2784">
        <v>100000</v>
      </c>
      <c r="I182" s="2785"/>
      <c r="J182" s="2786"/>
      <c r="K182" s="1442" t="s">
        <v>676</v>
      </c>
      <c r="L182" s="1442">
        <v>100000</v>
      </c>
      <c r="M182" s="1441" t="s">
        <v>676</v>
      </c>
      <c r="N182" s="1441" t="s">
        <v>1195</v>
      </c>
      <c r="O182" s="1441" t="s">
        <v>1196</v>
      </c>
      <c r="P182" s="1441" t="s">
        <v>1197</v>
      </c>
      <c r="Q182" s="1441" t="s">
        <v>673</v>
      </c>
    </row>
    <row r="183" spans="1:17" ht="153">
      <c r="A183" s="1440"/>
      <c r="B183" s="1441">
        <v>7</v>
      </c>
      <c r="C183" s="2781" t="s">
        <v>1198</v>
      </c>
      <c r="D183" s="2782"/>
      <c r="E183" s="2782"/>
      <c r="F183" s="2783"/>
      <c r="G183" s="1441" t="s">
        <v>1093</v>
      </c>
      <c r="H183" s="2784">
        <v>100000</v>
      </c>
      <c r="I183" s="2785"/>
      <c r="J183" s="2786"/>
      <c r="K183" s="1442" t="s">
        <v>676</v>
      </c>
      <c r="L183" s="1442">
        <v>100000</v>
      </c>
      <c r="M183" s="1441" t="s">
        <v>676</v>
      </c>
      <c r="N183" s="1441" t="s">
        <v>861</v>
      </c>
      <c r="O183" s="1441" t="s">
        <v>862</v>
      </c>
      <c r="P183" s="1441" t="s">
        <v>1199</v>
      </c>
      <c r="Q183" s="1441" t="s">
        <v>673</v>
      </c>
    </row>
    <row r="184" spans="1:17" ht="153">
      <c r="A184" s="1440"/>
      <c r="B184" s="1441">
        <v>8</v>
      </c>
      <c r="C184" s="2781" t="s">
        <v>1200</v>
      </c>
      <c r="D184" s="2782"/>
      <c r="E184" s="2782"/>
      <c r="F184" s="2783"/>
      <c r="G184" s="1441" t="s">
        <v>1183</v>
      </c>
      <c r="H184" s="2784">
        <v>333333</v>
      </c>
      <c r="I184" s="2785"/>
      <c r="J184" s="2786"/>
      <c r="K184" s="1442" t="s">
        <v>688</v>
      </c>
      <c r="L184" s="1442">
        <v>296000</v>
      </c>
      <c r="M184" s="1441" t="s">
        <v>1201</v>
      </c>
      <c r="N184" s="1441" t="s">
        <v>778</v>
      </c>
      <c r="O184" s="1441" t="s">
        <v>779</v>
      </c>
      <c r="P184" s="1441" t="s">
        <v>1202</v>
      </c>
      <c r="Q184" s="1441" t="s">
        <v>673</v>
      </c>
    </row>
    <row r="185" spans="1:17" ht="14.25">
      <c r="A185" s="1419"/>
      <c r="B185" s="1431"/>
      <c r="C185" s="2645" t="s">
        <v>761</v>
      </c>
      <c r="D185" s="2646"/>
      <c r="E185" s="2646"/>
      <c r="F185" s="2647"/>
      <c r="G185" s="1432"/>
      <c r="H185" s="2590">
        <f>SUM(H177:H184)</f>
        <v>1699999</v>
      </c>
      <c r="I185" s="2799"/>
      <c r="J185" s="2800"/>
      <c r="K185" s="1433"/>
      <c r="L185" s="1433">
        <f>SUM(L177:L184)</f>
        <v>1503523</v>
      </c>
      <c r="M185" s="1434"/>
      <c r="N185" s="1435"/>
      <c r="O185" s="1435"/>
      <c r="P185" s="1435"/>
      <c r="Q185" s="1435"/>
    </row>
    <row r="186" spans="1:17" ht="15">
      <c r="A186" s="1418"/>
      <c r="B186" s="1423"/>
      <c r="C186" s="1418"/>
      <c r="D186" s="1418"/>
      <c r="E186" s="1418"/>
      <c r="F186" s="1418"/>
      <c r="G186" s="1424"/>
      <c r="H186" s="1417"/>
      <c r="I186" s="1417"/>
      <c r="J186" s="1417"/>
      <c r="K186" s="1417"/>
      <c r="L186" s="1417"/>
      <c r="M186" s="1418"/>
      <c r="N186" s="1437" t="s">
        <v>762</v>
      </c>
      <c r="O186" s="1418"/>
      <c r="P186" s="1418"/>
      <c r="Q186" s="1418"/>
    </row>
    <row r="187" spans="1:17" ht="15">
      <c r="A187" s="1418"/>
      <c r="B187" s="1423"/>
      <c r="C187" s="1418"/>
      <c r="D187" s="1418"/>
      <c r="E187" s="1418"/>
      <c r="F187" s="1418"/>
      <c r="G187" s="1424"/>
      <c r="H187" s="1417"/>
      <c r="I187" s="1417"/>
      <c r="J187" s="1417"/>
      <c r="K187" s="1417"/>
      <c r="L187" s="1417"/>
      <c r="M187" s="1418"/>
      <c r="N187" s="1437" t="s">
        <v>763</v>
      </c>
      <c r="O187" s="1418"/>
      <c r="P187" s="1418"/>
      <c r="Q187" s="1418"/>
    </row>
    <row r="188" spans="1:17" ht="23.25">
      <c r="A188" s="2593" t="s">
        <v>652</v>
      </c>
      <c r="B188" s="2593"/>
      <c r="C188" s="2593"/>
      <c r="D188" s="2593"/>
      <c r="E188" s="2593"/>
      <c r="F188" s="2593"/>
      <c r="G188" s="2593"/>
      <c r="H188" s="2593"/>
      <c r="I188" s="1416"/>
      <c r="J188" s="1417"/>
      <c r="K188" s="1417"/>
      <c r="L188" s="1417"/>
      <c r="M188" s="1418"/>
      <c r="N188" s="1418"/>
      <c r="O188" s="1418"/>
      <c r="P188" s="1418"/>
      <c r="Q188" s="1418"/>
    </row>
    <row r="189" spans="1:17" ht="14.25">
      <c r="A189" s="1419"/>
      <c r="B189" s="1420"/>
      <c r="C189" s="1419"/>
      <c r="D189" s="1419"/>
      <c r="E189" s="1419"/>
      <c r="F189" s="1419"/>
      <c r="G189" s="1421"/>
      <c r="H189" s="1416"/>
      <c r="I189" s="1416"/>
      <c r="J189" s="1417"/>
      <c r="K189" s="1417"/>
      <c r="L189" s="1417"/>
      <c r="M189" s="1418"/>
      <c r="N189" s="1418"/>
      <c r="O189" s="1418"/>
      <c r="P189" s="1418"/>
      <c r="Q189" s="1418"/>
    </row>
    <row r="190" spans="1:17" ht="15">
      <c r="A190" s="2595" t="s">
        <v>653</v>
      </c>
      <c r="B190" s="2595"/>
      <c r="C190" s="2595"/>
      <c r="D190" s="1419"/>
      <c r="E190" s="1422" t="s">
        <v>654</v>
      </c>
      <c r="F190" s="1419"/>
      <c r="G190" s="1421"/>
      <c r="H190" s="1416"/>
      <c r="I190" s="1416"/>
      <c r="J190" s="1417"/>
      <c r="K190" s="1417"/>
      <c r="L190" s="1417"/>
      <c r="M190" s="1418"/>
      <c r="N190" s="1418"/>
      <c r="O190" s="1418"/>
      <c r="P190" s="1418"/>
      <c r="Q190" s="1418"/>
    </row>
    <row r="191" spans="1:17" ht="14.25">
      <c r="A191" s="1419"/>
      <c r="B191" s="1420"/>
      <c r="C191" s="1419"/>
      <c r="D191" s="1419"/>
      <c r="E191" s="1419"/>
      <c r="F191" s="1419"/>
      <c r="G191" s="1421"/>
      <c r="H191" s="1416"/>
      <c r="I191" s="1416"/>
      <c r="J191" s="1417"/>
      <c r="K191" s="1417"/>
      <c r="L191" s="1417"/>
      <c r="M191" s="1418"/>
      <c r="N191" s="1418"/>
      <c r="O191" s="1418"/>
      <c r="P191" s="1418"/>
      <c r="Q191" s="1418"/>
    </row>
    <row r="192" spans="1:17" ht="15">
      <c r="A192" s="2595" t="s">
        <v>655</v>
      </c>
      <c r="B192" s="2595"/>
      <c r="C192" s="2595"/>
      <c r="D192" s="1419"/>
      <c r="E192" s="2597" t="s">
        <v>1203</v>
      </c>
      <c r="F192" s="2597"/>
      <c r="G192" s="2597"/>
      <c r="H192" s="2597"/>
      <c r="I192" s="2597"/>
      <c r="J192" s="1417"/>
      <c r="K192" s="1417"/>
      <c r="L192" s="1417"/>
      <c r="M192" s="1418"/>
      <c r="N192" s="1418"/>
      <c r="O192" s="1418"/>
      <c r="P192" s="1418"/>
      <c r="Q192" s="1418"/>
    </row>
    <row r="193" spans="1:17" ht="14.25">
      <c r="A193" s="1418"/>
      <c r="B193" s="1423"/>
      <c r="C193" s="1418"/>
      <c r="D193" s="1418"/>
      <c r="E193" s="1418"/>
      <c r="F193" s="1418"/>
      <c r="G193" s="1424"/>
      <c r="H193" s="1417"/>
      <c r="I193" s="1417"/>
      <c r="J193" s="1417"/>
      <c r="K193" s="1417"/>
      <c r="L193" s="1417"/>
      <c r="M193" s="1418"/>
      <c r="N193" s="1418"/>
      <c r="O193" s="1418"/>
      <c r="P193" s="1418"/>
      <c r="Q193" s="1418"/>
    </row>
    <row r="194" spans="1:17" ht="408">
      <c r="A194" s="1453"/>
      <c r="B194" s="1426" t="s">
        <v>657</v>
      </c>
      <c r="C194" s="2588" t="s">
        <v>587</v>
      </c>
      <c r="D194" s="2574"/>
      <c r="E194" s="2574"/>
      <c r="F194" s="2575"/>
      <c r="G194" s="1426" t="s">
        <v>658</v>
      </c>
      <c r="H194" s="2588" t="s">
        <v>659</v>
      </c>
      <c r="I194" s="2574"/>
      <c r="J194" s="2575"/>
      <c r="K194" s="1426" t="s">
        <v>660</v>
      </c>
      <c r="L194" s="1426" t="s">
        <v>661</v>
      </c>
      <c r="M194" s="1426" t="s">
        <v>662</v>
      </c>
      <c r="N194" s="1426" t="s">
        <v>663</v>
      </c>
      <c r="O194" s="1426" t="s">
        <v>664</v>
      </c>
      <c r="P194" s="1426" t="s">
        <v>1204</v>
      </c>
      <c r="Q194" s="1426" t="s">
        <v>1205</v>
      </c>
    </row>
    <row r="195" spans="1:17" ht="140.25">
      <c r="A195" s="1453"/>
      <c r="B195" s="1427">
        <v>1</v>
      </c>
      <c r="C195" s="2573" t="s">
        <v>1206</v>
      </c>
      <c r="D195" s="2574"/>
      <c r="E195" s="2574"/>
      <c r="F195" s="2575"/>
      <c r="G195" s="1427" t="s">
        <v>1207</v>
      </c>
      <c r="H195" s="2576">
        <v>50000</v>
      </c>
      <c r="I195" s="2577"/>
      <c r="J195" s="2578"/>
      <c r="K195" s="1428" t="s">
        <v>676</v>
      </c>
      <c r="L195" s="1428">
        <v>49980</v>
      </c>
      <c r="M195" s="1427" t="s">
        <v>676</v>
      </c>
      <c r="N195" s="1427" t="s">
        <v>1208</v>
      </c>
      <c r="O195" s="1427" t="s">
        <v>1209</v>
      </c>
      <c r="P195" s="1427" t="s">
        <v>1210</v>
      </c>
      <c r="Q195" s="1427" t="s">
        <v>704</v>
      </c>
    </row>
    <row r="196" spans="1:17" ht="280.5">
      <c r="A196" s="1453"/>
      <c r="B196" s="1427">
        <v>2</v>
      </c>
      <c r="C196" s="2573" t="s">
        <v>1211</v>
      </c>
      <c r="D196" s="2574"/>
      <c r="E196" s="2574"/>
      <c r="F196" s="2575"/>
      <c r="G196" s="1427" t="s">
        <v>1212</v>
      </c>
      <c r="H196" s="2576">
        <v>101000</v>
      </c>
      <c r="I196" s="2577"/>
      <c r="J196" s="2578"/>
      <c r="K196" s="1428" t="s">
        <v>688</v>
      </c>
      <c r="L196" s="1428">
        <v>78900</v>
      </c>
      <c r="M196" s="1427" t="s">
        <v>1213</v>
      </c>
      <c r="N196" s="1427" t="s">
        <v>1214</v>
      </c>
      <c r="O196" s="1427" t="s">
        <v>1215</v>
      </c>
      <c r="P196" s="1427" t="s">
        <v>1216</v>
      </c>
      <c r="Q196" s="1427" t="s">
        <v>704</v>
      </c>
    </row>
    <row r="197" spans="1:17" ht="89.25">
      <c r="A197" s="1453"/>
      <c r="B197" s="1427">
        <v>3</v>
      </c>
      <c r="C197" s="2573" t="s">
        <v>1217</v>
      </c>
      <c r="D197" s="2574"/>
      <c r="E197" s="2574"/>
      <c r="F197" s="2575"/>
      <c r="G197" s="1427" t="s">
        <v>1218</v>
      </c>
      <c r="H197" s="2576">
        <v>150000</v>
      </c>
      <c r="I197" s="2577"/>
      <c r="J197" s="2578"/>
      <c r="K197" s="1428" t="s">
        <v>681</v>
      </c>
      <c r="L197" s="1428">
        <v>146035</v>
      </c>
      <c r="M197" s="1427" t="s">
        <v>1219</v>
      </c>
      <c r="N197" s="1427" t="s">
        <v>683</v>
      </c>
      <c r="O197" s="1427" t="s">
        <v>684</v>
      </c>
      <c r="P197" s="1427" t="s">
        <v>1220</v>
      </c>
      <c r="Q197" s="1427" t="s">
        <v>673</v>
      </c>
    </row>
    <row r="198" spans="1:17" ht="63.75">
      <c r="A198" s="1453"/>
      <c r="B198" s="1427">
        <v>4</v>
      </c>
      <c r="C198" s="2573" t="s">
        <v>912</v>
      </c>
      <c r="D198" s="2574"/>
      <c r="E198" s="2574"/>
      <c r="F198" s="2575"/>
      <c r="G198" s="1427" t="s">
        <v>699</v>
      </c>
      <c r="H198" s="2576">
        <v>100000</v>
      </c>
      <c r="I198" s="2577"/>
      <c r="J198" s="2578"/>
      <c r="K198" s="1428" t="s">
        <v>676</v>
      </c>
      <c r="L198" s="1428">
        <v>93920</v>
      </c>
      <c r="M198" s="1427" t="s">
        <v>676</v>
      </c>
      <c r="N198" s="1427" t="s">
        <v>1221</v>
      </c>
      <c r="O198" s="1427" t="s">
        <v>1222</v>
      </c>
      <c r="P198" s="1427" t="s">
        <v>1223</v>
      </c>
      <c r="Q198" s="1427" t="s">
        <v>704</v>
      </c>
    </row>
    <row r="199" spans="1:17" ht="178.5">
      <c r="A199" s="1453"/>
      <c r="B199" s="1427">
        <v>5</v>
      </c>
      <c r="C199" s="2573" t="s">
        <v>1224</v>
      </c>
      <c r="D199" s="2574"/>
      <c r="E199" s="2574"/>
      <c r="F199" s="2575"/>
      <c r="G199" s="1427" t="s">
        <v>1225</v>
      </c>
      <c r="H199" s="2576">
        <v>60000</v>
      </c>
      <c r="I199" s="2577"/>
      <c r="J199" s="2578"/>
      <c r="K199" s="1428" t="s">
        <v>676</v>
      </c>
      <c r="L199" s="1428">
        <v>60000</v>
      </c>
      <c r="M199" s="1427" t="s">
        <v>676</v>
      </c>
      <c r="N199" s="1427" t="s">
        <v>1226</v>
      </c>
      <c r="O199" s="1427" t="s">
        <v>1227</v>
      </c>
      <c r="P199" s="1427" t="s">
        <v>1228</v>
      </c>
      <c r="Q199" s="1427" t="s">
        <v>704</v>
      </c>
    </row>
    <row r="200" spans="1:17" ht="114.75">
      <c r="A200" s="1453"/>
      <c r="B200" s="1427">
        <v>6</v>
      </c>
      <c r="C200" s="2573" t="s">
        <v>1229</v>
      </c>
      <c r="D200" s="2574"/>
      <c r="E200" s="2574"/>
      <c r="F200" s="2575"/>
      <c r="G200" s="1427" t="s">
        <v>1230</v>
      </c>
      <c r="H200" s="2576">
        <v>20000</v>
      </c>
      <c r="I200" s="2577"/>
      <c r="J200" s="2578"/>
      <c r="K200" s="1428" t="s">
        <v>676</v>
      </c>
      <c r="L200" s="1428">
        <v>12700</v>
      </c>
      <c r="M200" s="1427" t="s">
        <v>676</v>
      </c>
      <c r="N200" s="1427" t="s">
        <v>1231</v>
      </c>
      <c r="O200" s="1427" t="s">
        <v>1232</v>
      </c>
      <c r="P200" s="1427" t="s">
        <v>1233</v>
      </c>
      <c r="Q200" s="1427" t="s">
        <v>704</v>
      </c>
    </row>
    <row r="201" spans="1:17" ht="102">
      <c r="A201" s="1453"/>
      <c r="B201" s="1427">
        <v>7</v>
      </c>
      <c r="C201" s="2573" t="s">
        <v>1234</v>
      </c>
      <c r="D201" s="2574"/>
      <c r="E201" s="2574"/>
      <c r="F201" s="2575"/>
      <c r="G201" s="1427" t="s">
        <v>1235</v>
      </c>
      <c r="H201" s="2576">
        <v>101000</v>
      </c>
      <c r="I201" s="2577"/>
      <c r="J201" s="2578"/>
      <c r="K201" s="1428" t="s">
        <v>688</v>
      </c>
      <c r="L201" s="1428">
        <v>79800</v>
      </c>
      <c r="M201" s="1427" t="s">
        <v>1236</v>
      </c>
      <c r="N201" s="1427" t="s">
        <v>1237</v>
      </c>
      <c r="O201" s="1427" t="s">
        <v>1238</v>
      </c>
      <c r="P201" s="1427" t="s">
        <v>1239</v>
      </c>
      <c r="Q201" s="1427" t="s">
        <v>704</v>
      </c>
    </row>
    <row r="202" spans="1:17" ht="127.5">
      <c r="A202" s="1453"/>
      <c r="B202" s="1427">
        <v>8</v>
      </c>
      <c r="C202" s="2573" t="s">
        <v>1240</v>
      </c>
      <c r="D202" s="2574"/>
      <c r="E202" s="2574"/>
      <c r="F202" s="2575"/>
      <c r="G202" s="1427" t="s">
        <v>1241</v>
      </c>
      <c r="H202" s="2576">
        <v>101000</v>
      </c>
      <c r="I202" s="2577"/>
      <c r="J202" s="2578"/>
      <c r="K202" s="1428" t="s">
        <v>688</v>
      </c>
      <c r="L202" s="1428">
        <v>78400</v>
      </c>
      <c r="M202" s="1427" t="s">
        <v>1242</v>
      </c>
      <c r="N202" s="1427" t="s">
        <v>996</v>
      </c>
      <c r="O202" s="1427" t="s">
        <v>997</v>
      </c>
      <c r="P202" s="1427" t="s">
        <v>1243</v>
      </c>
      <c r="Q202" s="1427" t="s">
        <v>704</v>
      </c>
    </row>
    <row r="203" spans="1:17" ht="127.5">
      <c r="A203" s="1453"/>
      <c r="B203" s="1427">
        <v>9</v>
      </c>
      <c r="C203" s="2573" t="s">
        <v>1244</v>
      </c>
      <c r="D203" s="2574"/>
      <c r="E203" s="2574"/>
      <c r="F203" s="2575"/>
      <c r="G203" s="1427" t="s">
        <v>1245</v>
      </c>
      <c r="H203" s="2576">
        <v>99900</v>
      </c>
      <c r="I203" s="2577"/>
      <c r="J203" s="2578"/>
      <c r="K203" s="1428" t="s">
        <v>676</v>
      </c>
      <c r="L203" s="1428">
        <v>99900</v>
      </c>
      <c r="M203" s="1427" t="s">
        <v>676</v>
      </c>
      <c r="N203" s="1427" t="s">
        <v>996</v>
      </c>
      <c r="O203" s="1427" t="s">
        <v>997</v>
      </c>
      <c r="P203" s="1427" t="s">
        <v>1246</v>
      </c>
      <c r="Q203" s="1427" t="s">
        <v>704</v>
      </c>
    </row>
    <row r="204" spans="1:17" ht="89.25">
      <c r="A204" s="1453"/>
      <c r="B204" s="1427">
        <v>10</v>
      </c>
      <c r="C204" s="2573" t="s">
        <v>1247</v>
      </c>
      <c r="D204" s="2574"/>
      <c r="E204" s="2574"/>
      <c r="F204" s="2575"/>
      <c r="G204" s="1427" t="s">
        <v>1093</v>
      </c>
      <c r="H204" s="2576">
        <v>100000</v>
      </c>
      <c r="I204" s="2577"/>
      <c r="J204" s="2578"/>
      <c r="K204" s="1428" t="s">
        <v>676</v>
      </c>
      <c r="L204" s="1428">
        <v>99500</v>
      </c>
      <c r="M204" s="1427" t="s">
        <v>676</v>
      </c>
      <c r="N204" s="1427" t="s">
        <v>1248</v>
      </c>
      <c r="O204" s="1427" t="s">
        <v>1249</v>
      </c>
      <c r="P204" s="1427" t="s">
        <v>1250</v>
      </c>
      <c r="Q204" s="1427" t="s">
        <v>673</v>
      </c>
    </row>
    <row r="205" spans="1:17" ht="178.5">
      <c r="A205" s="1453"/>
      <c r="B205" s="1427">
        <v>11</v>
      </c>
      <c r="C205" s="2573" t="s">
        <v>1251</v>
      </c>
      <c r="D205" s="2574"/>
      <c r="E205" s="2574"/>
      <c r="F205" s="2575"/>
      <c r="G205" s="1427" t="s">
        <v>1093</v>
      </c>
      <c r="H205" s="2576">
        <v>99500</v>
      </c>
      <c r="I205" s="2577"/>
      <c r="J205" s="2578"/>
      <c r="K205" s="1428" t="s">
        <v>676</v>
      </c>
      <c r="L205" s="1428">
        <v>99450</v>
      </c>
      <c r="M205" s="1427" t="s">
        <v>676</v>
      </c>
      <c r="N205" s="1427" t="s">
        <v>1252</v>
      </c>
      <c r="O205" s="1427" t="s">
        <v>1253</v>
      </c>
      <c r="P205" s="1427" t="s">
        <v>1254</v>
      </c>
      <c r="Q205" s="1427" t="s">
        <v>704</v>
      </c>
    </row>
    <row r="206" spans="1:17" ht="140.25">
      <c r="A206" s="1453"/>
      <c r="B206" s="1427">
        <v>12</v>
      </c>
      <c r="C206" s="2573" t="s">
        <v>1255</v>
      </c>
      <c r="D206" s="2574"/>
      <c r="E206" s="2574"/>
      <c r="F206" s="2575"/>
      <c r="G206" s="1427" t="s">
        <v>1093</v>
      </c>
      <c r="H206" s="2576">
        <v>8000</v>
      </c>
      <c r="I206" s="2577"/>
      <c r="J206" s="2578"/>
      <c r="K206" s="1428" t="s">
        <v>676</v>
      </c>
      <c r="L206" s="1428">
        <v>7000</v>
      </c>
      <c r="M206" s="1427" t="s">
        <v>676</v>
      </c>
      <c r="N206" s="1427" t="s">
        <v>1256</v>
      </c>
      <c r="O206" s="1427" t="s">
        <v>1257</v>
      </c>
      <c r="P206" s="1427" t="s">
        <v>1258</v>
      </c>
      <c r="Q206" s="1427" t="s">
        <v>704</v>
      </c>
    </row>
    <row r="207" spans="1:17" ht="127.5">
      <c r="A207" s="1453"/>
      <c r="B207" s="1427">
        <v>13</v>
      </c>
      <c r="C207" s="2573" t="s">
        <v>1259</v>
      </c>
      <c r="D207" s="2574"/>
      <c r="E207" s="2574"/>
      <c r="F207" s="2575"/>
      <c r="G207" s="1427" t="s">
        <v>1260</v>
      </c>
      <c r="H207" s="2576">
        <v>190666</v>
      </c>
      <c r="I207" s="2577"/>
      <c r="J207" s="2578"/>
      <c r="K207" s="1428" t="s">
        <v>688</v>
      </c>
      <c r="L207" s="1428">
        <v>143400</v>
      </c>
      <c r="M207" s="1427" t="s">
        <v>1261</v>
      </c>
      <c r="N207" s="1427" t="s">
        <v>996</v>
      </c>
      <c r="O207" s="1427" t="s">
        <v>997</v>
      </c>
      <c r="P207" s="1427" t="s">
        <v>1216</v>
      </c>
      <c r="Q207" s="1427" t="s">
        <v>704</v>
      </c>
    </row>
    <row r="208" spans="1:17" ht="51">
      <c r="A208" s="1453"/>
      <c r="B208" s="1427">
        <v>14</v>
      </c>
      <c r="C208" s="2573" t="s">
        <v>1262</v>
      </c>
      <c r="D208" s="2574"/>
      <c r="E208" s="2574"/>
      <c r="F208" s="2575"/>
      <c r="G208" s="1427" t="s">
        <v>1263</v>
      </c>
      <c r="H208" s="2576">
        <v>2236</v>
      </c>
      <c r="I208" s="2577"/>
      <c r="J208" s="2578"/>
      <c r="K208" s="1428" t="s">
        <v>676</v>
      </c>
      <c r="L208" s="1428">
        <v>2236</v>
      </c>
      <c r="M208" s="1427" t="s">
        <v>676</v>
      </c>
      <c r="N208" s="1427" t="s">
        <v>1264</v>
      </c>
      <c r="O208" s="1427" t="s">
        <v>1265</v>
      </c>
      <c r="P208" s="1427" t="s">
        <v>1266</v>
      </c>
      <c r="Q208" s="1427" t="s">
        <v>704</v>
      </c>
    </row>
    <row r="209" spans="1:17" ht="267.75">
      <c r="A209" s="1453"/>
      <c r="B209" s="1427">
        <v>15</v>
      </c>
      <c r="C209" s="2573" t="s">
        <v>1267</v>
      </c>
      <c r="D209" s="2574"/>
      <c r="E209" s="2574"/>
      <c r="F209" s="2575"/>
      <c r="G209" s="1427" t="s">
        <v>1129</v>
      </c>
      <c r="H209" s="2576">
        <v>101000</v>
      </c>
      <c r="I209" s="2577"/>
      <c r="J209" s="2578"/>
      <c r="K209" s="1428" t="s">
        <v>688</v>
      </c>
      <c r="L209" s="1428">
        <v>49000</v>
      </c>
      <c r="M209" s="1427" t="s">
        <v>1268</v>
      </c>
      <c r="N209" s="1427" t="s">
        <v>1269</v>
      </c>
      <c r="O209" s="1427" t="s">
        <v>1270</v>
      </c>
      <c r="P209" s="1427" t="s">
        <v>1216</v>
      </c>
      <c r="Q209" s="1427" t="s">
        <v>704</v>
      </c>
    </row>
    <row r="210" spans="1:17" ht="63.75">
      <c r="A210" s="1453"/>
      <c r="B210" s="1427">
        <v>16</v>
      </c>
      <c r="C210" s="2573" t="s">
        <v>1271</v>
      </c>
      <c r="D210" s="2574"/>
      <c r="E210" s="2574"/>
      <c r="F210" s="2575"/>
      <c r="G210" s="1427" t="s">
        <v>1218</v>
      </c>
      <c r="H210" s="2576">
        <v>85270</v>
      </c>
      <c r="I210" s="2577"/>
      <c r="J210" s="2578"/>
      <c r="K210" s="1428" t="s">
        <v>676</v>
      </c>
      <c r="L210" s="1428">
        <v>85270</v>
      </c>
      <c r="M210" s="1427" t="s">
        <v>676</v>
      </c>
      <c r="N210" s="1427" t="s">
        <v>670</v>
      </c>
      <c r="O210" s="1427" t="s">
        <v>671</v>
      </c>
      <c r="P210" s="1427" t="s">
        <v>1272</v>
      </c>
      <c r="Q210" s="1427" t="s">
        <v>704</v>
      </c>
    </row>
    <row r="211" spans="1:17" ht="165.75">
      <c r="A211" s="1453"/>
      <c r="B211" s="1427">
        <v>17</v>
      </c>
      <c r="C211" s="2573" t="s">
        <v>1273</v>
      </c>
      <c r="D211" s="2574"/>
      <c r="E211" s="2574"/>
      <c r="F211" s="2575"/>
      <c r="G211" s="1427" t="s">
        <v>1020</v>
      </c>
      <c r="H211" s="2576">
        <v>372000</v>
      </c>
      <c r="I211" s="2577"/>
      <c r="J211" s="2578"/>
      <c r="K211" s="1428" t="s">
        <v>688</v>
      </c>
      <c r="L211" s="1428">
        <v>196000</v>
      </c>
      <c r="M211" s="1427" t="s">
        <v>1274</v>
      </c>
      <c r="N211" s="1427" t="s">
        <v>1275</v>
      </c>
      <c r="O211" s="1427" t="s">
        <v>1276</v>
      </c>
      <c r="P211" s="1427" t="s">
        <v>1277</v>
      </c>
      <c r="Q211" s="1427" t="s">
        <v>704</v>
      </c>
    </row>
    <row r="212" spans="1:17" ht="63.75">
      <c r="A212" s="1453"/>
      <c r="B212" s="1427">
        <v>18</v>
      </c>
      <c r="C212" s="2573" t="s">
        <v>1278</v>
      </c>
      <c r="D212" s="2574"/>
      <c r="E212" s="2574"/>
      <c r="F212" s="2575"/>
      <c r="G212" s="1427" t="s">
        <v>1167</v>
      </c>
      <c r="H212" s="2576">
        <v>500000</v>
      </c>
      <c r="I212" s="2577"/>
      <c r="J212" s="2578"/>
      <c r="K212" s="1428" t="s">
        <v>688</v>
      </c>
      <c r="L212" s="1428">
        <v>456970</v>
      </c>
      <c r="M212" s="1427" t="s">
        <v>1279</v>
      </c>
      <c r="N212" s="1427" t="s">
        <v>1280</v>
      </c>
      <c r="O212" s="1427" t="s">
        <v>1281</v>
      </c>
      <c r="P212" s="1427" t="s">
        <v>1282</v>
      </c>
      <c r="Q212" s="1427" t="s">
        <v>704</v>
      </c>
    </row>
    <row r="213" spans="1:17" ht="114.75">
      <c r="A213" s="1453"/>
      <c r="B213" s="1427">
        <v>19</v>
      </c>
      <c r="C213" s="2573" t="s">
        <v>1283</v>
      </c>
      <c r="D213" s="2574"/>
      <c r="E213" s="2574"/>
      <c r="F213" s="2575"/>
      <c r="G213" s="1427" t="s">
        <v>1167</v>
      </c>
      <c r="H213" s="2576">
        <v>34968</v>
      </c>
      <c r="I213" s="2577"/>
      <c r="J213" s="2578"/>
      <c r="K213" s="1428" t="s">
        <v>676</v>
      </c>
      <c r="L213" s="1428">
        <v>34968</v>
      </c>
      <c r="M213" s="1427" t="s">
        <v>676</v>
      </c>
      <c r="N213" s="1427" t="s">
        <v>1284</v>
      </c>
      <c r="O213" s="1427" t="s">
        <v>1285</v>
      </c>
      <c r="P213" s="1427" t="s">
        <v>1286</v>
      </c>
      <c r="Q213" s="1427" t="s">
        <v>673</v>
      </c>
    </row>
    <row r="214" spans="1:17" ht="14.25">
      <c r="A214" s="1418"/>
      <c r="B214" s="1431"/>
      <c r="C214" s="2645" t="s">
        <v>761</v>
      </c>
      <c r="D214" s="2646"/>
      <c r="E214" s="2646"/>
      <c r="F214" s="2647"/>
      <c r="G214" s="1432"/>
      <c r="H214" s="2590">
        <f>SUM(H195:J213)</f>
        <v>2276540</v>
      </c>
      <c r="I214" s="2799"/>
      <c r="J214" s="2800"/>
      <c r="K214" s="1433"/>
      <c r="L214" s="1433">
        <f>SUM(L195:L213)</f>
        <v>1873429</v>
      </c>
      <c r="M214" s="1434"/>
      <c r="N214" s="1435"/>
      <c r="O214" s="1435"/>
      <c r="P214" s="1436"/>
      <c r="Q214" s="1436"/>
    </row>
    <row r="216" spans="1:17" ht="23.25">
      <c r="A216" s="2593" t="s">
        <v>652</v>
      </c>
      <c r="B216" s="2594"/>
      <c r="C216" s="2594"/>
      <c r="D216" s="2594"/>
      <c r="E216" s="2594"/>
      <c r="F216" s="2594"/>
      <c r="G216" s="2594"/>
      <c r="H216" s="2594"/>
      <c r="I216" s="1416"/>
      <c r="J216" s="1416"/>
      <c r="K216" s="1416"/>
      <c r="L216" s="1416"/>
      <c r="M216" s="1419"/>
      <c r="N216" s="1419"/>
      <c r="O216" s="1419"/>
      <c r="P216" s="1419"/>
      <c r="Q216" s="1419"/>
    </row>
    <row r="217" spans="1:17" ht="14.25">
      <c r="A217" s="1419"/>
      <c r="B217" s="1419"/>
      <c r="C217" s="1419"/>
      <c r="D217" s="1419"/>
      <c r="E217" s="1419"/>
      <c r="F217" s="1419"/>
      <c r="G217" s="1419"/>
      <c r="H217" s="1416"/>
      <c r="I217" s="1416"/>
      <c r="J217" s="1416"/>
      <c r="K217" s="1416"/>
      <c r="L217" s="1416"/>
      <c r="M217" s="1419"/>
      <c r="N217" s="1419"/>
      <c r="O217" s="1419"/>
      <c r="P217" s="1419"/>
      <c r="Q217" s="1419"/>
    </row>
    <row r="218" spans="1:17" ht="14.25">
      <c r="A218" s="2595" t="s">
        <v>653</v>
      </c>
      <c r="B218" s="2596"/>
      <c r="C218" s="2596"/>
      <c r="D218" s="1419"/>
      <c r="E218" s="1422" t="s">
        <v>654</v>
      </c>
      <c r="F218" s="1419"/>
      <c r="G218" s="1419"/>
      <c r="H218" s="1416"/>
      <c r="I218" s="1416"/>
      <c r="J218" s="1416"/>
      <c r="K218" s="1416"/>
      <c r="L218" s="1416"/>
      <c r="M218" s="1419"/>
      <c r="N218" s="1419"/>
      <c r="O218" s="1419"/>
      <c r="P218" s="1419"/>
      <c r="Q218" s="1419"/>
    </row>
    <row r="219" spans="1:17" ht="14.25">
      <c r="A219" s="1419"/>
      <c r="B219" s="1419"/>
      <c r="C219" s="1419"/>
      <c r="D219" s="1419"/>
      <c r="E219" s="1419"/>
      <c r="F219" s="1419"/>
      <c r="G219" s="1419"/>
      <c r="H219" s="1416"/>
      <c r="I219" s="1416"/>
      <c r="J219" s="1416"/>
      <c r="K219" s="1416"/>
      <c r="L219" s="1416"/>
      <c r="M219" s="1419"/>
      <c r="N219" s="1419"/>
      <c r="O219" s="1419"/>
      <c r="P219" s="1419"/>
      <c r="Q219" s="1419"/>
    </row>
    <row r="220" spans="1:17" ht="15">
      <c r="A220" s="2595" t="s">
        <v>655</v>
      </c>
      <c r="B220" s="2595"/>
      <c r="C220" s="2595"/>
      <c r="D220" s="1419"/>
      <c r="E220" s="2597" t="s">
        <v>1287</v>
      </c>
      <c r="F220" s="2597"/>
      <c r="G220" s="2597"/>
      <c r="H220" s="2597"/>
      <c r="I220" s="2597"/>
      <c r="J220" s="1416"/>
      <c r="K220" s="1416"/>
      <c r="L220" s="1416"/>
      <c r="M220" s="1419"/>
      <c r="N220" s="1419"/>
      <c r="O220" s="1419"/>
      <c r="P220" s="1419"/>
      <c r="Q220" s="1419"/>
    </row>
    <row r="221" spans="1:17" ht="14.25">
      <c r="A221" s="1418"/>
      <c r="B221" s="1418"/>
      <c r="C221" s="1418"/>
      <c r="D221" s="1418"/>
      <c r="E221" s="1418"/>
      <c r="F221" s="1418"/>
      <c r="G221" s="1418"/>
      <c r="H221" s="1417"/>
      <c r="I221" s="1417"/>
      <c r="J221" s="1417"/>
      <c r="K221" s="1417"/>
      <c r="L221" s="1417"/>
      <c r="M221" s="1418"/>
      <c r="N221" s="1418"/>
      <c r="O221" s="1418"/>
      <c r="P221" s="1418"/>
      <c r="Q221" s="1418"/>
    </row>
    <row r="222" spans="1:17" ht="408">
      <c r="A222" s="1453"/>
      <c r="B222" s="1477" t="s">
        <v>657</v>
      </c>
      <c r="C222" s="2606" t="s">
        <v>587</v>
      </c>
      <c r="D222" s="2599"/>
      <c r="E222" s="2599"/>
      <c r="F222" s="2600"/>
      <c r="G222" s="1477" t="s">
        <v>658</v>
      </c>
      <c r="H222" s="2606" t="s">
        <v>659</v>
      </c>
      <c r="I222" s="2599"/>
      <c r="J222" s="2600"/>
      <c r="K222" s="1477" t="s">
        <v>660</v>
      </c>
      <c r="L222" s="1477" t="s">
        <v>661</v>
      </c>
      <c r="M222" s="1477" t="s">
        <v>662</v>
      </c>
      <c r="N222" s="1477" t="s">
        <v>663</v>
      </c>
      <c r="O222" s="1477" t="s">
        <v>664</v>
      </c>
      <c r="P222" s="1477" t="s">
        <v>665</v>
      </c>
      <c r="Q222" s="1477" t="s">
        <v>666</v>
      </c>
    </row>
    <row r="223" spans="1:17" ht="165.75">
      <c r="A223" s="1453"/>
      <c r="B223" s="1478">
        <v>1</v>
      </c>
      <c r="C223" s="2598" t="s">
        <v>1288</v>
      </c>
      <c r="D223" s="2599"/>
      <c r="E223" s="2599"/>
      <c r="F223" s="2600"/>
      <c r="G223" s="1478" t="s">
        <v>1289</v>
      </c>
      <c r="H223" s="2601">
        <v>99500</v>
      </c>
      <c r="I223" s="2602"/>
      <c r="J223" s="2603"/>
      <c r="K223" s="1479" t="s">
        <v>676</v>
      </c>
      <c r="L223" s="1480">
        <v>65300</v>
      </c>
      <c r="M223" s="1481" t="s">
        <v>676</v>
      </c>
      <c r="N223" s="1481" t="s">
        <v>695</v>
      </c>
      <c r="O223" s="1481" t="s">
        <v>696</v>
      </c>
      <c r="P223" s="1481" t="s">
        <v>1290</v>
      </c>
      <c r="Q223" s="1481" t="s">
        <v>704</v>
      </c>
    </row>
    <row r="224" spans="1:17" ht="204">
      <c r="A224" s="1453"/>
      <c r="B224" s="1478">
        <v>2</v>
      </c>
      <c r="C224" s="2598" t="s">
        <v>1211</v>
      </c>
      <c r="D224" s="2599"/>
      <c r="E224" s="2599"/>
      <c r="F224" s="2600"/>
      <c r="G224" s="1478" t="s">
        <v>1291</v>
      </c>
      <c r="H224" s="2601">
        <v>110000</v>
      </c>
      <c r="I224" s="2602"/>
      <c r="J224" s="2603"/>
      <c r="K224" s="1479" t="s">
        <v>688</v>
      </c>
      <c r="L224" s="1480">
        <v>68904.976699999999</v>
      </c>
      <c r="M224" s="1481" t="s">
        <v>1292</v>
      </c>
      <c r="N224" s="1481" t="s">
        <v>1293</v>
      </c>
      <c r="O224" s="1481" t="s">
        <v>1294</v>
      </c>
      <c r="P224" s="1481" t="s">
        <v>943</v>
      </c>
      <c r="Q224" s="1481" t="s">
        <v>704</v>
      </c>
    </row>
    <row r="225" spans="1:17" ht="76.5">
      <c r="A225" s="1453"/>
      <c r="B225" s="1478">
        <v>3</v>
      </c>
      <c r="C225" s="2598" t="s">
        <v>1295</v>
      </c>
      <c r="D225" s="2599"/>
      <c r="E225" s="2599"/>
      <c r="F225" s="2600"/>
      <c r="G225" s="1478" t="s">
        <v>855</v>
      </c>
      <c r="H225" s="2601">
        <v>400000</v>
      </c>
      <c r="I225" s="2602"/>
      <c r="J225" s="2603"/>
      <c r="K225" s="1479" t="s">
        <v>688</v>
      </c>
      <c r="L225" s="1480">
        <v>247500</v>
      </c>
      <c r="M225" s="1481" t="s">
        <v>1296</v>
      </c>
      <c r="N225" s="1481" t="s">
        <v>1053</v>
      </c>
      <c r="O225" s="1481" t="s">
        <v>1054</v>
      </c>
      <c r="P225" s="1481" t="s">
        <v>1297</v>
      </c>
      <c r="Q225" s="1481" t="s">
        <v>673</v>
      </c>
    </row>
    <row r="226" spans="1:17" ht="204">
      <c r="A226" s="1453"/>
      <c r="B226" s="1478">
        <v>4</v>
      </c>
      <c r="C226" s="2598" t="s">
        <v>1298</v>
      </c>
      <c r="D226" s="2599"/>
      <c r="E226" s="2599"/>
      <c r="F226" s="2600"/>
      <c r="G226" s="1478" t="s">
        <v>855</v>
      </c>
      <c r="H226" s="2601">
        <v>400000</v>
      </c>
      <c r="I226" s="2602"/>
      <c r="J226" s="2603"/>
      <c r="K226" s="1479" t="s">
        <v>688</v>
      </c>
      <c r="L226" s="1480">
        <v>305100</v>
      </c>
      <c r="M226" s="1481" t="s">
        <v>1299</v>
      </c>
      <c r="N226" s="1481" t="s">
        <v>1300</v>
      </c>
      <c r="O226" s="1481" t="s">
        <v>1301</v>
      </c>
      <c r="P226" s="1481" t="s">
        <v>1302</v>
      </c>
      <c r="Q226" s="1481" t="s">
        <v>673</v>
      </c>
    </row>
    <row r="227" spans="1:17" ht="178.5">
      <c r="A227" s="1453"/>
      <c r="B227" s="1478">
        <v>5</v>
      </c>
      <c r="C227" s="2598" t="s">
        <v>1303</v>
      </c>
      <c r="D227" s="2599"/>
      <c r="E227" s="2599"/>
      <c r="F227" s="2600"/>
      <c r="G227" s="1478" t="s">
        <v>1183</v>
      </c>
      <c r="H227" s="2601">
        <v>99250</v>
      </c>
      <c r="I227" s="2602"/>
      <c r="J227" s="2603"/>
      <c r="K227" s="1479" t="s">
        <v>676</v>
      </c>
      <c r="L227" s="1480">
        <v>99183</v>
      </c>
      <c r="M227" s="1481" t="s">
        <v>676</v>
      </c>
      <c r="N227" s="1481" t="s">
        <v>1304</v>
      </c>
      <c r="O227" s="1481" t="s">
        <v>1305</v>
      </c>
      <c r="P227" s="1481" t="s">
        <v>1306</v>
      </c>
      <c r="Q227" s="1481" t="s">
        <v>704</v>
      </c>
    </row>
    <row r="228" spans="1:17" ht="89.25">
      <c r="A228" s="1453"/>
      <c r="B228" s="1478">
        <v>6</v>
      </c>
      <c r="C228" s="2598" t="s">
        <v>906</v>
      </c>
      <c r="D228" s="2599"/>
      <c r="E228" s="2599"/>
      <c r="F228" s="2600"/>
      <c r="G228" s="1478" t="s">
        <v>1183</v>
      </c>
      <c r="H228" s="2601">
        <v>1009050</v>
      </c>
      <c r="I228" s="2602"/>
      <c r="J228" s="2603"/>
      <c r="K228" s="1479" t="s">
        <v>681</v>
      </c>
      <c r="L228" s="1480">
        <v>1008350</v>
      </c>
      <c r="M228" s="1481" t="s">
        <v>1307</v>
      </c>
      <c r="N228" s="1481" t="s">
        <v>683</v>
      </c>
      <c r="O228" s="1481" t="s">
        <v>684</v>
      </c>
      <c r="P228" s="1481" t="s">
        <v>1308</v>
      </c>
      <c r="Q228" s="1481" t="s">
        <v>673</v>
      </c>
    </row>
    <row r="229" spans="1:17" ht="140.25">
      <c r="A229" s="1453"/>
      <c r="B229" s="1478">
        <v>7</v>
      </c>
      <c r="C229" s="2598" t="s">
        <v>1309</v>
      </c>
      <c r="D229" s="2599"/>
      <c r="E229" s="2599"/>
      <c r="F229" s="2600"/>
      <c r="G229" s="1478" t="s">
        <v>1310</v>
      </c>
      <c r="H229" s="2601">
        <v>99800</v>
      </c>
      <c r="I229" s="2602"/>
      <c r="J229" s="2603"/>
      <c r="K229" s="1479" t="s">
        <v>676</v>
      </c>
      <c r="L229" s="1480">
        <v>99200</v>
      </c>
      <c r="M229" s="1481" t="s">
        <v>676</v>
      </c>
      <c r="N229" s="1481" t="s">
        <v>750</v>
      </c>
      <c r="O229" s="1481" t="s">
        <v>751</v>
      </c>
      <c r="P229" s="1481" t="s">
        <v>1311</v>
      </c>
      <c r="Q229" s="1481" t="s">
        <v>673</v>
      </c>
    </row>
    <row r="230" spans="1:17" ht="63.75">
      <c r="A230" s="1453"/>
      <c r="B230" s="1478">
        <v>8</v>
      </c>
      <c r="C230" s="2598" t="s">
        <v>827</v>
      </c>
      <c r="D230" s="2599"/>
      <c r="E230" s="2599"/>
      <c r="F230" s="2600"/>
      <c r="G230" s="1478" t="s">
        <v>1312</v>
      </c>
      <c r="H230" s="2601">
        <v>300000</v>
      </c>
      <c r="I230" s="2602"/>
      <c r="J230" s="2603"/>
      <c r="K230" s="1479" t="s">
        <v>688</v>
      </c>
      <c r="L230" s="1480">
        <v>202191</v>
      </c>
      <c r="M230" s="1481" t="s">
        <v>1313</v>
      </c>
      <c r="N230" s="1481" t="s">
        <v>915</v>
      </c>
      <c r="O230" s="1481" t="s">
        <v>916</v>
      </c>
      <c r="P230" s="1481" t="s">
        <v>1314</v>
      </c>
      <c r="Q230" s="1481" t="s">
        <v>673</v>
      </c>
    </row>
    <row r="231" spans="1:17" ht="127.5">
      <c r="A231" s="1453"/>
      <c r="B231" s="1478">
        <v>9</v>
      </c>
      <c r="C231" s="2598" t="s">
        <v>1315</v>
      </c>
      <c r="D231" s="2599"/>
      <c r="E231" s="2599"/>
      <c r="F231" s="2600"/>
      <c r="G231" s="1478" t="s">
        <v>787</v>
      </c>
      <c r="H231" s="2601">
        <v>99850</v>
      </c>
      <c r="I231" s="2602"/>
      <c r="J231" s="2603"/>
      <c r="K231" s="1479" t="s">
        <v>676</v>
      </c>
      <c r="L231" s="1480">
        <v>71667</v>
      </c>
      <c r="M231" s="1481" t="s">
        <v>676</v>
      </c>
      <c r="N231" s="1481" t="s">
        <v>1316</v>
      </c>
      <c r="O231" s="1481" t="s">
        <v>1317</v>
      </c>
      <c r="P231" s="1481" t="s">
        <v>1318</v>
      </c>
      <c r="Q231" s="1481" t="s">
        <v>704</v>
      </c>
    </row>
    <row r="232" spans="1:17" ht="76.5">
      <c r="A232" s="1453"/>
      <c r="B232" s="1478">
        <v>10</v>
      </c>
      <c r="C232" s="2598" t="s">
        <v>1319</v>
      </c>
      <c r="D232" s="2599"/>
      <c r="E232" s="2599"/>
      <c r="F232" s="2600"/>
      <c r="G232" s="1478" t="s">
        <v>1320</v>
      </c>
      <c r="H232" s="2601">
        <v>10000</v>
      </c>
      <c r="I232" s="2602"/>
      <c r="J232" s="2603"/>
      <c r="K232" s="1479" t="s">
        <v>676</v>
      </c>
      <c r="L232" s="1480">
        <v>7875</v>
      </c>
      <c r="M232" s="1481" t="s">
        <v>676</v>
      </c>
      <c r="N232" s="1481" t="s">
        <v>1321</v>
      </c>
      <c r="O232" s="1481" t="s">
        <v>1322</v>
      </c>
      <c r="P232" s="1481" t="s">
        <v>1323</v>
      </c>
      <c r="Q232" s="1481" t="s">
        <v>673</v>
      </c>
    </row>
    <row r="233" spans="1:17" ht="280.5">
      <c r="A233" s="1453"/>
      <c r="B233" s="1478">
        <v>11</v>
      </c>
      <c r="C233" s="2598" t="s">
        <v>1324</v>
      </c>
      <c r="D233" s="2599"/>
      <c r="E233" s="2599"/>
      <c r="F233" s="2600"/>
      <c r="G233" s="1478" t="s">
        <v>1325</v>
      </c>
      <c r="H233" s="2601">
        <v>35000</v>
      </c>
      <c r="I233" s="2602"/>
      <c r="J233" s="2603"/>
      <c r="K233" s="1479" t="s">
        <v>676</v>
      </c>
      <c r="L233" s="1480">
        <v>29520</v>
      </c>
      <c r="M233" s="1482" t="s">
        <v>676</v>
      </c>
      <c r="N233" s="1481" t="s">
        <v>1326</v>
      </c>
      <c r="O233" s="1481" t="s">
        <v>1327</v>
      </c>
      <c r="P233" s="1481" t="s">
        <v>1328</v>
      </c>
      <c r="Q233" s="1481" t="s">
        <v>673</v>
      </c>
    </row>
    <row r="234" spans="1:17" ht="267.75">
      <c r="A234" s="1453"/>
      <c r="B234" s="1478">
        <v>12</v>
      </c>
      <c r="C234" s="2598" t="s">
        <v>1329</v>
      </c>
      <c r="D234" s="2599"/>
      <c r="E234" s="2599"/>
      <c r="F234" s="2600"/>
      <c r="G234" s="1483" t="s">
        <v>1183</v>
      </c>
      <c r="H234" s="2601">
        <v>232535</v>
      </c>
      <c r="I234" s="2602"/>
      <c r="J234" s="2603"/>
      <c r="K234" s="1484" t="s">
        <v>688</v>
      </c>
      <c r="L234" s="1485">
        <v>232535</v>
      </c>
      <c r="M234" s="1486"/>
      <c r="N234" s="1487" t="s">
        <v>1330</v>
      </c>
      <c r="O234" s="1487" t="s">
        <v>1331</v>
      </c>
      <c r="P234" s="1487" t="s">
        <v>1332</v>
      </c>
      <c r="Q234" s="1481"/>
    </row>
    <row r="235" spans="1:17" ht="369.75">
      <c r="A235" s="1453"/>
      <c r="B235" s="1478">
        <v>13</v>
      </c>
      <c r="C235" s="2598" t="s">
        <v>1333</v>
      </c>
      <c r="D235" s="2599"/>
      <c r="E235" s="2599"/>
      <c r="F235" s="2600"/>
      <c r="G235" s="1483" t="s">
        <v>1334</v>
      </c>
      <c r="H235" s="2601">
        <v>95887.08</v>
      </c>
      <c r="I235" s="2602"/>
      <c r="J235" s="2603"/>
      <c r="K235" s="1488" t="s">
        <v>688</v>
      </c>
      <c r="L235" s="1480">
        <v>95887.08</v>
      </c>
      <c r="M235" s="1489"/>
      <c r="N235" s="1487" t="s">
        <v>1335</v>
      </c>
      <c r="O235" s="1487" t="s">
        <v>1336</v>
      </c>
      <c r="P235" s="1490" t="s">
        <v>1337</v>
      </c>
      <c r="Q235" s="1481"/>
    </row>
    <row r="236" spans="1:17" ht="14.25">
      <c r="A236" s="1418"/>
      <c r="B236" s="1435"/>
      <c r="C236" s="2589" t="s">
        <v>761</v>
      </c>
      <c r="D236" s="2589"/>
      <c r="E236" s="2589"/>
      <c r="F236" s="2589"/>
      <c r="G236" s="1435"/>
      <c r="H236" s="2590">
        <f>SUM(H223:H235)</f>
        <v>2990872.08</v>
      </c>
      <c r="I236" s="2591"/>
      <c r="J236" s="2592"/>
      <c r="K236" s="1433"/>
      <c r="L236" s="1433">
        <f>SUM(L223:L235)</f>
        <v>2533213.0567000001</v>
      </c>
      <c r="M236" s="1434"/>
      <c r="N236" s="1435"/>
      <c r="O236" s="1435"/>
      <c r="P236" s="1435"/>
      <c r="Q236" s="1435"/>
    </row>
    <row r="237" spans="1:17" ht="15">
      <c r="A237" s="1418"/>
      <c r="B237" s="1419"/>
      <c r="C237" s="1419"/>
      <c r="D237" s="1419"/>
      <c r="E237" s="1419"/>
      <c r="F237" s="1419"/>
      <c r="G237" s="1419"/>
      <c r="H237" s="1416"/>
      <c r="I237" s="1416"/>
      <c r="J237" s="1416"/>
      <c r="K237" s="1416"/>
      <c r="L237" s="1416"/>
      <c r="M237" s="1419"/>
      <c r="N237" s="1437" t="s">
        <v>762</v>
      </c>
      <c r="O237" s="1419"/>
      <c r="P237" s="1418"/>
      <c r="Q237" s="1418"/>
    </row>
    <row r="238" spans="1:17" ht="15">
      <c r="A238" s="1418"/>
      <c r="B238" s="1419"/>
      <c r="C238" s="1419"/>
      <c r="D238" s="1419"/>
      <c r="E238" s="1419"/>
      <c r="F238" s="1419"/>
      <c r="G238" s="1419"/>
      <c r="H238" s="1416"/>
      <c r="I238" s="1416"/>
      <c r="J238" s="1416"/>
      <c r="K238" s="1416"/>
      <c r="L238" s="1416"/>
      <c r="M238" s="1419"/>
      <c r="N238" s="1437" t="s">
        <v>763</v>
      </c>
      <c r="O238" s="1419"/>
      <c r="P238" s="1418"/>
      <c r="Q238" s="1418"/>
    </row>
    <row r="239" spans="1:17" ht="23.25">
      <c r="A239" s="2593" t="s">
        <v>652</v>
      </c>
      <c r="B239" s="2594"/>
      <c r="C239" s="2594"/>
      <c r="D239" s="2594"/>
      <c r="E239" s="2594"/>
      <c r="F239" s="2594"/>
      <c r="G239" s="2594"/>
      <c r="H239" s="2594"/>
      <c r="I239" s="1416"/>
      <c r="J239" s="1416"/>
      <c r="K239" s="1416"/>
      <c r="L239" s="1416"/>
      <c r="M239" s="1419"/>
      <c r="N239" s="1419"/>
      <c r="O239" s="1419"/>
      <c r="P239" s="1419"/>
      <c r="Q239" s="1419"/>
    </row>
    <row r="240" spans="1:17" ht="14.25">
      <c r="A240" s="1419"/>
      <c r="B240" s="1419"/>
      <c r="C240" s="1419"/>
      <c r="D240" s="1419"/>
      <c r="E240" s="1419"/>
      <c r="F240" s="1419"/>
      <c r="G240" s="1419"/>
      <c r="H240" s="1416"/>
      <c r="I240" s="1416"/>
      <c r="J240" s="1416"/>
      <c r="K240" s="1416"/>
      <c r="L240" s="1416"/>
      <c r="M240" s="1419"/>
      <c r="N240" s="1419"/>
      <c r="O240" s="1419"/>
      <c r="P240" s="1419"/>
      <c r="Q240" s="1419"/>
    </row>
    <row r="241" spans="1:17" ht="14.25">
      <c r="A241" s="2595" t="s">
        <v>653</v>
      </c>
      <c r="B241" s="2596"/>
      <c r="C241" s="2596"/>
      <c r="D241" s="1419"/>
      <c r="E241" s="1422" t="s">
        <v>654</v>
      </c>
      <c r="F241" s="1419"/>
      <c r="G241" s="1419"/>
      <c r="H241" s="1416"/>
      <c r="I241" s="1416"/>
      <c r="J241" s="1416"/>
      <c r="K241" s="1416"/>
      <c r="L241" s="1416"/>
      <c r="M241" s="1419"/>
      <c r="N241" s="1419"/>
      <c r="O241" s="1419"/>
      <c r="P241" s="1419"/>
      <c r="Q241" s="1419"/>
    </row>
    <row r="242" spans="1:17" ht="14.25">
      <c r="A242" s="1419"/>
      <c r="B242" s="1419"/>
      <c r="C242" s="1419"/>
      <c r="D242" s="1419"/>
      <c r="E242" s="1419"/>
      <c r="F242" s="1419"/>
      <c r="G242" s="1419"/>
      <c r="H242" s="1416"/>
      <c r="I242" s="1416"/>
      <c r="J242" s="1416"/>
      <c r="K242" s="1416"/>
      <c r="L242" s="1416"/>
      <c r="M242" s="1419"/>
      <c r="N242" s="1419"/>
      <c r="O242" s="1419"/>
      <c r="P242" s="1419"/>
      <c r="Q242" s="1419"/>
    </row>
    <row r="243" spans="1:17" ht="14.25">
      <c r="A243" s="2595" t="s">
        <v>655</v>
      </c>
      <c r="B243" s="2596"/>
      <c r="C243" s="2596"/>
      <c r="D243" s="1419"/>
      <c r="E243" s="2597" t="s">
        <v>1338</v>
      </c>
      <c r="F243" s="2596"/>
      <c r="G243" s="2596"/>
      <c r="H243" s="2596"/>
      <c r="I243" s="2596"/>
      <c r="J243" s="1416"/>
      <c r="K243" s="1416"/>
      <c r="L243" s="1416"/>
      <c r="M243" s="1419"/>
      <c r="N243" s="1419"/>
      <c r="O243" s="1419"/>
      <c r="P243" s="1419"/>
      <c r="Q243" s="1419"/>
    </row>
    <row r="244" spans="1:17" ht="14.25">
      <c r="A244" s="1418"/>
      <c r="B244" s="1418"/>
      <c r="C244" s="1418"/>
      <c r="D244" s="1418"/>
      <c r="E244" s="1418"/>
      <c r="F244" s="1418"/>
      <c r="G244" s="1418"/>
      <c r="H244" s="1417"/>
      <c r="I244" s="1417"/>
      <c r="J244" s="1417"/>
      <c r="K244" s="1417"/>
      <c r="L244" s="1417"/>
      <c r="M244" s="1418"/>
      <c r="N244" s="1418"/>
      <c r="O244" s="1418"/>
      <c r="P244" s="1418"/>
      <c r="Q244" s="1418"/>
    </row>
    <row r="245" spans="1:17" ht="408">
      <c r="A245" s="1453"/>
      <c r="B245" s="1426" t="s">
        <v>657</v>
      </c>
      <c r="C245" s="2588" t="s">
        <v>587</v>
      </c>
      <c r="D245" s="2797"/>
      <c r="E245" s="2797"/>
      <c r="F245" s="2798"/>
      <c r="G245" s="1426" t="s">
        <v>658</v>
      </c>
      <c r="H245" s="2588" t="s">
        <v>659</v>
      </c>
      <c r="I245" s="2797"/>
      <c r="J245" s="2798"/>
      <c r="K245" s="1426" t="s">
        <v>660</v>
      </c>
      <c r="L245" s="1426" t="s">
        <v>661</v>
      </c>
      <c r="M245" s="1426" t="s">
        <v>662</v>
      </c>
      <c r="N245" s="1426" t="s">
        <v>663</v>
      </c>
      <c r="O245" s="1426" t="s">
        <v>664</v>
      </c>
      <c r="P245" s="1426" t="s">
        <v>765</v>
      </c>
      <c r="Q245" s="1426" t="s">
        <v>766</v>
      </c>
    </row>
    <row r="246" spans="1:17" ht="89.25">
      <c r="A246" s="1453"/>
      <c r="B246" s="1427">
        <v>1</v>
      </c>
      <c r="C246" s="2573" t="s">
        <v>1339</v>
      </c>
      <c r="D246" s="2715"/>
      <c r="E246" s="2715"/>
      <c r="F246" s="2716"/>
      <c r="G246" s="1427" t="s">
        <v>907</v>
      </c>
      <c r="H246" s="2576">
        <v>1606889</v>
      </c>
      <c r="I246" s="2717"/>
      <c r="J246" s="2718"/>
      <c r="K246" s="1427" t="s">
        <v>892</v>
      </c>
      <c r="L246" s="1428">
        <v>1546594</v>
      </c>
      <c r="M246" s="1427" t="s">
        <v>1340</v>
      </c>
      <c r="N246" s="1427" t="s">
        <v>1341</v>
      </c>
      <c r="O246" s="1427" t="s">
        <v>1342</v>
      </c>
      <c r="P246" s="1427" t="s">
        <v>1343</v>
      </c>
      <c r="Q246" s="1427" t="s">
        <v>704</v>
      </c>
    </row>
    <row r="247" spans="1:17" ht="14.25">
      <c r="A247" s="1419"/>
      <c r="B247" s="1435"/>
      <c r="C247" s="2589" t="s">
        <v>761</v>
      </c>
      <c r="D247" s="2589"/>
      <c r="E247" s="2589"/>
      <c r="F247" s="2589"/>
      <c r="G247" s="1435"/>
      <c r="H247" s="2590">
        <f>SUM(H246)</f>
        <v>1606889</v>
      </c>
      <c r="I247" s="2591"/>
      <c r="J247" s="2592"/>
      <c r="K247" s="1433"/>
      <c r="L247" s="1433">
        <f>SUM(L246)</f>
        <v>1546594</v>
      </c>
      <c r="M247" s="1434"/>
      <c r="N247" s="1435"/>
      <c r="O247" s="1435"/>
      <c r="P247" s="1435"/>
      <c r="Q247" s="1435"/>
    </row>
    <row r="248" spans="1:17" ht="15">
      <c r="A248" s="1419"/>
      <c r="B248" s="1419"/>
      <c r="C248" s="1419"/>
      <c r="D248" s="1419"/>
      <c r="E248" s="1419"/>
      <c r="F248" s="1419"/>
      <c r="G248" s="1419"/>
      <c r="H248" s="1416"/>
      <c r="I248" s="1416"/>
      <c r="J248" s="1416"/>
      <c r="K248" s="1416"/>
      <c r="L248" s="1416"/>
      <c r="M248" s="1419"/>
      <c r="N248" s="1437" t="s">
        <v>762</v>
      </c>
      <c r="O248" s="1419"/>
      <c r="P248" s="1419"/>
      <c r="Q248" s="1419"/>
    </row>
    <row r="249" spans="1:17" ht="15">
      <c r="A249" s="1419"/>
      <c r="B249" s="1419"/>
      <c r="C249" s="1419"/>
      <c r="D249" s="1419"/>
      <c r="E249" s="1419"/>
      <c r="F249" s="1419"/>
      <c r="G249" s="1419"/>
      <c r="H249" s="1416"/>
      <c r="I249" s="1416"/>
      <c r="J249" s="1416"/>
      <c r="K249" s="1416"/>
      <c r="L249" s="1416"/>
      <c r="M249" s="1419"/>
      <c r="N249" s="1437" t="s">
        <v>763</v>
      </c>
      <c r="O249" s="1419"/>
      <c r="P249" s="1419"/>
      <c r="Q249" s="1419"/>
    </row>
    <row r="250" spans="1:17" ht="23.25">
      <c r="A250" s="2593" t="s">
        <v>652</v>
      </c>
      <c r="B250" s="2593"/>
      <c r="C250" s="2593"/>
      <c r="D250" s="2593"/>
      <c r="E250" s="2593"/>
      <c r="F250" s="2593"/>
      <c r="G250" s="2593"/>
      <c r="H250" s="2593"/>
      <c r="I250" s="1416"/>
      <c r="J250" s="1416"/>
      <c r="K250" s="1416"/>
      <c r="L250" s="1416"/>
      <c r="M250" s="1419"/>
      <c r="N250" s="1419"/>
      <c r="O250" s="1419"/>
      <c r="P250" s="1419"/>
      <c r="Q250" s="1419"/>
    </row>
    <row r="251" spans="1:17" ht="14.25">
      <c r="A251" s="1419"/>
      <c r="B251" s="1419"/>
      <c r="C251" s="1419"/>
      <c r="D251" s="1419"/>
      <c r="E251" s="1419"/>
      <c r="F251" s="1419"/>
      <c r="G251" s="1419"/>
      <c r="H251" s="1416"/>
      <c r="I251" s="1416"/>
      <c r="J251" s="1416"/>
      <c r="K251" s="1416"/>
      <c r="L251" s="1416"/>
      <c r="M251" s="1419"/>
      <c r="N251" s="1419"/>
      <c r="O251" s="1419"/>
      <c r="P251" s="1419"/>
      <c r="Q251" s="1419"/>
    </row>
    <row r="252" spans="1:17" ht="15">
      <c r="A252" s="2595" t="s">
        <v>653</v>
      </c>
      <c r="B252" s="2595"/>
      <c r="C252" s="2595"/>
      <c r="D252" s="1419"/>
      <c r="E252" s="1422" t="s">
        <v>654</v>
      </c>
      <c r="F252" s="1419"/>
      <c r="G252" s="1419"/>
      <c r="H252" s="1416"/>
      <c r="I252" s="1416"/>
      <c r="J252" s="1416"/>
      <c r="K252" s="1416"/>
      <c r="L252" s="1416"/>
      <c r="M252" s="1419"/>
      <c r="N252" s="1419"/>
      <c r="O252" s="1419"/>
      <c r="P252" s="1419"/>
      <c r="Q252" s="1419"/>
    </row>
    <row r="253" spans="1:17" ht="14.25">
      <c r="A253" s="1419"/>
      <c r="B253" s="1419"/>
      <c r="C253" s="1419"/>
      <c r="D253" s="1419"/>
      <c r="E253" s="1419"/>
      <c r="F253" s="1419"/>
      <c r="G253" s="1419"/>
      <c r="H253" s="1416"/>
      <c r="I253" s="1416"/>
      <c r="J253" s="1416"/>
      <c r="K253" s="1416"/>
      <c r="L253" s="1416"/>
      <c r="M253" s="1419"/>
      <c r="N253" s="1419"/>
      <c r="O253" s="1419"/>
      <c r="P253" s="1419"/>
      <c r="Q253" s="1419"/>
    </row>
    <row r="254" spans="1:17" ht="15">
      <c r="A254" s="2595" t="s">
        <v>655</v>
      </c>
      <c r="B254" s="2595"/>
      <c r="C254" s="2595"/>
      <c r="D254" s="1419"/>
      <c r="E254" s="2597" t="s">
        <v>1344</v>
      </c>
      <c r="F254" s="2596"/>
      <c r="G254" s="2596"/>
      <c r="H254" s="2596"/>
      <c r="I254" s="2596"/>
      <c r="J254" s="1416"/>
      <c r="K254" s="1416"/>
      <c r="L254" s="1416"/>
      <c r="M254" s="1419"/>
      <c r="N254" s="1419"/>
      <c r="O254" s="1419"/>
      <c r="P254" s="1419"/>
      <c r="Q254" s="1419"/>
    </row>
    <row r="255" spans="1:17" ht="14.25">
      <c r="A255" s="1418"/>
      <c r="B255" s="1418"/>
      <c r="C255" s="1418"/>
      <c r="D255" s="1418"/>
      <c r="E255" s="1418"/>
      <c r="F255" s="1418"/>
      <c r="G255" s="1418"/>
      <c r="H255" s="1417"/>
      <c r="I255" s="1417"/>
      <c r="J255" s="1417"/>
      <c r="K255" s="1417"/>
      <c r="L255" s="1417"/>
      <c r="M255" s="1418"/>
      <c r="N255" s="1418"/>
      <c r="O255" s="1418"/>
      <c r="P255" s="1418"/>
      <c r="Q255" s="1418"/>
    </row>
    <row r="256" spans="1:17" ht="408">
      <c r="A256" s="1453"/>
      <c r="B256" s="1426" t="s">
        <v>657</v>
      </c>
      <c r="C256" s="2588" t="s">
        <v>587</v>
      </c>
      <c r="D256" s="2574"/>
      <c r="E256" s="2574"/>
      <c r="F256" s="2575"/>
      <c r="G256" s="1426" t="s">
        <v>658</v>
      </c>
      <c r="H256" s="2588" t="s">
        <v>659</v>
      </c>
      <c r="I256" s="2574"/>
      <c r="J256" s="2575"/>
      <c r="K256" s="1426" t="s">
        <v>660</v>
      </c>
      <c r="L256" s="1426" t="s">
        <v>661</v>
      </c>
      <c r="M256" s="1426" t="s">
        <v>662</v>
      </c>
      <c r="N256" s="1426" t="s">
        <v>663</v>
      </c>
      <c r="O256" s="1426" t="s">
        <v>664</v>
      </c>
      <c r="P256" s="1426" t="s">
        <v>665</v>
      </c>
      <c r="Q256" s="1426" t="s">
        <v>666</v>
      </c>
    </row>
    <row r="257" spans="1:17" ht="127.5">
      <c r="A257" s="1453"/>
      <c r="B257" s="1427">
        <v>1</v>
      </c>
      <c r="C257" s="2573" t="s">
        <v>1345</v>
      </c>
      <c r="D257" s="2574"/>
      <c r="E257" s="2574"/>
      <c r="F257" s="2575"/>
      <c r="G257" s="1427" t="s">
        <v>1183</v>
      </c>
      <c r="H257" s="2576">
        <v>1692917</v>
      </c>
      <c r="I257" s="2577"/>
      <c r="J257" s="2578"/>
      <c r="K257" s="1428" t="s">
        <v>892</v>
      </c>
      <c r="L257" s="1428">
        <v>1688685</v>
      </c>
      <c r="M257" s="1427" t="s">
        <v>1346</v>
      </c>
      <c r="N257" s="1427" t="s">
        <v>1347</v>
      </c>
      <c r="O257" s="1427" t="s">
        <v>1348</v>
      </c>
      <c r="P257" s="1427" t="s">
        <v>1349</v>
      </c>
      <c r="Q257" s="1427" t="s">
        <v>704</v>
      </c>
    </row>
    <row r="258" spans="1:17" ht="127.5">
      <c r="A258" s="1453"/>
      <c r="B258" s="1427">
        <v>2</v>
      </c>
      <c r="C258" s="2573" t="s">
        <v>1350</v>
      </c>
      <c r="D258" s="2574"/>
      <c r="E258" s="2574"/>
      <c r="F258" s="2575"/>
      <c r="G258" s="1427" t="s">
        <v>1351</v>
      </c>
      <c r="H258" s="2576">
        <v>125000</v>
      </c>
      <c r="I258" s="2577"/>
      <c r="J258" s="2578"/>
      <c r="K258" s="1428" t="s">
        <v>688</v>
      </c>
      <c r="L258" s="1428">
        <v>117000</v>
      </c>
      <c r="M258" s="1427" t="s">
        <v>1352</v>
      </c>
      <c r="N258" s="1427" t="s">
        <v>1347</v>
      </c>
      <c r="O258" s="1427" t="s">
        <v>1348</v>
      </c>
      <c r="P258" s="1427" t="s">
        <v>1353</v>
      </c>
      <c r="Q258" s="1427" t="s">
        <v>704</v>
      </c>
    </row>
    <row r="259" spans="1:17" ht="102">
      <c r="A259" s="1453"/>
      <c r="B259" s="1427">
        <v>3</v>
      </c>
      <c r="C259" s="2573" t="s">
        <v>1354</v>
      </c>
      <c r="D259" s="2574"/>
      <c r="E259" s="2574"/>
      <c r="F259" s="2575"/>
      <c r="G259" s="1454" t="s">
        <v>711</v>
      </c>
      <c r="H259" s="2686">
        <v>333333</v>
      </c>
      <c r="I259" s="2795"/>
      <c r="J259" s="2796"/>
      <c r="K259" s="1455" t="s">
        <v>688</v>
      </c>
      <c r="L259" s="1455">
        <v>188600</v>
      </c>
      <c r="M259" s="1454" t="s">
        <v>1355</v>
      </c>
      <c r="N259" s="1454" t="s">
        <v>1237</v>
      </c>
      <c r="O259" s="1454" t="s">
        <v>1238</v>
      </c>
      <c r="P259" s="1454" t="s">
        <v>1353</v>
      </c>
      <c r="Q259" s="1454" t="s">
        <v>704</v>
      </c>
    </row>
    <row r="260" spans="1:17" ht="127.5">
      <c r="A260" s="1453"/>
      <c r="B260" s="1491">
        <v>4</v>
      </c>
      <c r="C260" s="2790" t="s">
        <v>1356</v>
      </c>
      <c r="D260" s="2791"/>
      <c r="E260" s="2791"/>
      <c r="F260" s="2791"/>
      <c r="G260" s="1492" t="s">
        <v>749</v>
      </c>
      <c r="H260" s="2792">
        <v>583333</v>
      </c>
      <c r="I260" s="2793"/>
      <c r="J260" s="2794"/>
      <c r="K260" s="1493" t="s">
        <v>688</v>
      </c>
      <c r="L260" s="1493">
        <v>478000</v>
      </c>
      <c r="M260" s="1494" t="s">
        <v>1357</v>
      </c>
      <c r="N260" s="1494" t="s">
        <v>1347</v>
      </c>
      <c r="O260" s="1494" t="s">
        <v>1348</v>
      </c>
      <c r="P260" s="1494" t="s">
        <v>1358</v>
      </c>
      <c r="Q260" s="1495" t="s">
        <v>704</v>
      </c>
    </row>
    <row r="261" spans="1:17" ht="14.25">
      <c r="A261" s="1419"/>
      <c r="B261" s="1435"/>
      <c r="C261" s="2589" t="s">
        <v>761</v>
      </c>
      <c r="D261" s="2589"/>
      <c r="E261" s="2589"/>
      <c r="F261" s="2589"/>
      <c r="G261" s="1435"/>
      <c r="H261" s="2701">
        <f>SUM(H257:H260)</f>
        <v>2734583</v>
      </c>
      <c r="I261" s="2701"/>
      <c r="J261" s="2701"/>
      <c r="K261" s="1433"/>
      <c r="L261" s="1433">
        <f>SUM(L257:L260)</f>
        <v>2472285</v>
      </c>
      <c r="M261" s="1434"/>
      <c r="N261" s="1435"/>
      <c r="O261" s="1435"/>
      <c r="P261" s="1496"/>
      <c r="Q261" s="1496"/>
    </row>
    <row r="262" spans="1:17" ht="15">
      <c r="A262" s="1419"/>
      <c r="B262" s="1419"/>
      <c r="C262" s="1419"/>
      <c r="D262" s="1419"/>
      <c r="E262" s="1419"/>
      <c r="F262" s="1419"/>
      <c r="G262" s="1419"/>
      <c r="H262" s="1416"/>
      <c r="I262" s="1416"/>
      <c r="J262" s="1416"/>
      <c r="K262" s="1416"/>
      <c r="L262" s="1416"/>
      <c r="M262" s="1419"/>
      <c r="N262" s="1437" t="s">
        <v>762</v>
      </c>
      <c r="O262" s="1419"/>
      <c r="P262" s="1419"/>
      <c r="Q262" s="1419"/>
    </row>
    <row r="263" spans="1:17" ht="15">
      <c r="A263" s="1419"/>
      <c r="B263" s="1419"/>
      <c r="C263" s="1419"/>
      <c r="D263" s="1419"/>
      <c r="E263" s="1419"/>
      <c r="F263" s="1419"/>
      <c r="G263" s="1419"/>
      <c r="H263" s="1416"/>
      <c r="I263" s="1416"/>
      <c r="J263" s="1416"/>
      <c r="K263" s="1416"/>
      <c r="L263" s="1416"/>
      <c r="M263" s="1419"/>
      <c r="N263" s="1437" t="s">
        <v>763</v>
      </c>
      <c r="O263" s="1419"/>
      <c r="P263" s="1419"/>
      <c r="Q263" s="1419"/>
    </row>
    <row r="264" spans="1:17" ht="23.25">
      <c r="A264" s="2593" t="s">
        <v>652</v>
      </c>
      <c r="B264" s="2593"/>
      <c r="C264" s="2593"/>
      <c r="D264" s="2593"/>
      <c r="E264" s="2593"/>
      <c r="F264" s="2593"/>
      <c r="G264" s="2593"/>
      <c r="H264" s="2593"/>
      <c r="I264" s="1416"/>
      <c r="J264" s="1416"/>
      <c r="K264" s="1416"/>
      <c r="L264" s="1416"/>
      <c r="M264" s="1419"/>
      <c r="N264" s="1419"/>
      <c r="O264" s="1419"/>
      <c r="P264" s="1419"/>
      <c r="Q264" s="1419"/>
    </row>
    <row r="265" spans="1:17" ht="14.25">
      <c r="A265" s="1419"/>
      <c r="B265" s="1419"/>
      <c r="C265" s="1419"/>
      <c r="D265" s="1419"/>
      <c r="E265" s="1419"/>
      <c r="F265" s="1419"/>
      <c r="G265" s="1419"/>
      <c r="H265" s="1416"/>
      <c r="I265" s="1416"/>
      <c r="J265" s="1416"/>
      <c r="K265" s="1416"/>
      <c r="L265" s="1416"/>
      <c r="M265" s="1419"/>
      <c r="N265" s="1419"/>
      <c r="O265" s="1419"/>
      <c r="P265" s="1419"/>
      <c r="Q265" s="1419"/>
    </row>
    <row r="266" spans="1:17" ht="15">
      <c r="A266" s="2595" t="s">
        <v>653</v>
      </c>
      <c r="B266" s="2595"/>
      <c r="C266" s="2595"/>
      <c r="D266" s="1419"/>
      <c r="E266" s="1422" t="s">
        <v>654</v>
      </c>
      <c r="F266" s="1419"/>
      <c r="G266" s="1419"/>
      <c r="H266" s="1416"/>
      <c r="I266" s="1416"/>
      <c r="J266" s="1416"/>
      <c r="K266" s="1416"/>
      <c r="L266" s="1416"/>
      <c r="M266" s="1419"/>
      <c r="N266" s="1419"/>
      <c r="O266" s="1419"/>
      <c r="P266" s="1419"/>
      <c r="Q266" s="1419"/>
    </row>
    <row r="267" spans="1:17" ht="14.25">
      <c r="A267" s="1419"/>
      <c r="B267" s="1419"/>
      <c r="C267" s="1419"/>
      <c r="D267" s="1419"/>
      <c r="E267" s="1419"/>
      <c r="F267" s="1419"/>
      <c r="G267" s="1419"/>
      <c r="H267" s="1416"/>
      <c r="I267" s="1416"/>
      <c r="J267" s="1416"/>
      <c r="K267" s="1416"/>
      <c r="L267" s="1416"/>
      <c r="M267" s="1419"/>
      <c r="N267" s="1419"/>
      <c r="O267" s="1419"/>
      <c r="P267" s="1419"/>
      <c r="Q267" s="1419"/>
    </row>
    <row r="268" spans="1:17" ht="15">
      <c r="A268" s="2779" t="s">
        <v>655</v>
      </c>
      <c r="B268" s="2779"/>
      <c r="C268" s="2779"/>
      <c r="D268" s="1419"/>
      <c r="E268" s="2597" t="s">
        <v>1359</v>
      </c>
      <c r="F268" s="2596"/>
      <c r="G268" s="2596"/>
      <c r="H268" s="2596"/>
      <c r="I268" s="2596"/>
      <c r="J268" s="1416"/>
      <c r="K268" s="1416"/>
      <c r="L268" s="1416"/>
      <c r="M268" s="1419"/>
      <c r="N268" s="1419"/>
      <c r="O268" s="1419"/>
      <c r="P268" s="1419"/>
      <c r="Q268" s="1419"/>
    </row>
    <row r="269" spans="1:17" ht="14.25">
      <c r="A269" s="1419"/>
      <c r="B269" s="1419"/>
      <c r="C269" s="1419"/>
      <c r="D269" s="1419"/>
      <c r="E269" s="1419"/>
      <c r="F269" s="1419"/>
      <c r="G269" s="1419"/>
      <c r="H269" s="1416"/>
      <c r="I269" s="1416"/>
      <c r="J269" s="1416"/>
      <c r="K269" s="1416"/>
      <c r="L269" s="1416"/>
      <c r="M269" s="1419"/>
      <c r="N269" s="1419"/>
      <c r="O269" s="1419"/>
      <c r="P269" s="1419"/>
      <c r="Q269" s="1419"/>
    </row>
    <row r="270" spans="1:17" ht="408">
      <c r="A270" s="1497"/>
      <c r="B270" s="1439" t="s">
        <v>657</v>
      </c>
      <c r="C270" s="2787" t="s">
        <v>587</v>
      </c>
      <c r="D270" s="2788"/>
      <c r="E270" s="2788"/>
      <c r="F270" s="2789"/>
      <c r="G270" s="1439" t="s">
        <v>658</v>
      </c>
      <c r="H270" s="2787" t="s">
        <v>659</v>
      </c>
      <c r="I270" s="2788"/>
      <c r="J270" s="2789"/>
      <c r="K270" s="1439" t="s">
        <v>660</v>
      </c>
      <c r="L270" s="1439" t="s">
        <v>661</v>
      </c>
      <c r="M270" s="1439" t="s">
        <v>662</v>
      </c>
      <c r="N270" s="1439" t="s">
        <v>663</v>
      </c>
      <c r="O270" s="1439" t="s">
        <v>664</v>
      </c>
      <c r="P270" s="1439" t="s">
        <v>765</v>
      </c>
      <c r="Q270" s="1439" t="s">
        <v>766</v>
      </c>
    </row>
    <row r="271" spans="1:17" ht="229.5">
      <c r="A271" s="1440"/>
      <c r="B271" s="1441">
        <v>1</v>
      </c>
      <c r="C271" s="2781" t="s">
        <v>1360</v>
      </c>
      <c r="D271" s="2782"/>
      <c r="E271" s="2782"/>
      <c r="F271" s="2783"/>
      <c r="G271" s="1441" t="s">
        <v>1093</v>
      </c>
      <c r="H271" s="2784">
        <v>100000</v>
      </c>
      <c r="I271" s="2785"/>
      <c r="J271" s="2786"/>
      <c r="K271" s="1442" t="s">
        <v>676</v>
      </c>
      <c r="L271" s="1442">
        <v>86450</v>
      </c>
      <c r="M271" s="1441" t="s">
        <v>676</v>
      </c>
      <c r="N271" s="1441" t="s">
        <v>1361</v>
      </c>
      <c r="O271" s="1441" t="s">
        <v>1362</v>
      </c>
      <c r="P271" s="1441" t="s">
        <v>1363</v>
      </c>
      <c r="Q271" s="1441" t="s">
        <v>673</v>
      </c>
    </row>
    <row r="272" spans="1:17" ht="51">
      <c r="A272" s="1440"/>
      <c r="B272" s="1441">
        <v>2</v>
      </c>
      <c r="C272" s="2781" t="s">
        <v>1364</v>
      </c>
      <c r="D272" s="2782"/>
      <c r="E272" s="2782"/>
      <c r="F272" s="2783"/>
      <c r="G272" s="1441" t="s">
        <v>1365</v>
      </c>
      <c r="H272" s="2784">
        <v>458333</v>
      </c>
      <c r="I272" s="2785"/>
      <c r="J272" s="2786"/>
      <c r="K272" s="1442" t="s">
        <v>688</v>
      </c>
      <c r="L272" s="1498">
        <v>7.9</v>
      </c>
      <c r="M272" s="1441" t="s">
        <v>1366</v>
      </c>
      <c r="N272" s="1441" t="s">
        <v>1367</v>
      </c>
      <c r="O272" s="1441" t="s">
        <v>1368</v>
      </c>
      <c r="P272" s="1441" t="s">
        <v>1369</v>
      </c>
      <c r="Q272" s="1441" t="s">
        <v>704</v>
      </c>
    </row>
    <row r="273" spans="1:17" ht="63.75">
      <c r="A273" s="1440"/>
      <c r="B273" s="1441">
        <v>3</v>
      </c>
      <c r="C273" s="2781" t="s">
        <v>1370</v>
      </c>
      <c r="D273" s="2782"/>
      <c r="E273" s="2782"/>
      <c r="F273" s="2783"/>
      <c r="G273" s="1441" t="s">
        <v>1093</v>
      </c>
      <c r="H273" s="2784">
        <v>166666</v>
      </c>
      <c r="I273" s="2785"/>
      <c r="J273" s="2786"/>
      <c r="K273" s="1442" t="s">
        <v>688</v>
      </c>
      <c r="L273" s="1442">
        <v>166666</v>
      </c>
      <c r="M273" s="1441" t="s">
        <v>1371</v>
      </c>
      <c r="N273" s="1441" t="s">
        <v>1372</v>
      </c>
      <c r="O273" s="1441" t="s">
        <v>1373</v>
      </c>
      <c r="P273" s="1441" t="s">
        <v>832</v>
      </c>
      <c r="Q273" s="1441" t="s">
        <v>673</v>
      </c>
    </row>
    <row r="274" spans="1:17" ht="114.75">
      <c r="A274" s="1440"/>
      <c r="B274" s="1441">
        <v>4</v>
      </c>
      <c r="C274" s="2781" t="s">
        <v>1374</v>
      </c>
      <c r="D274" s="2782"/>
      <c r="E274" s="2782"/>
      <c r="F274" s="2783"/>
      <c r="G274" s="1441" t="s">
        <v>1093</v>
      </c>
      <c r="H274" s="2784">
        <v>99980</v>
      </c>
      <c r="I274" s="2785"/>
      <c r="J274" s="2786"/>
      <c r="K274" s="1442" t="s">
        <v>676</v>
      </c>
      <c r="L274" s="1442">
        <v>99980</v>
      </c>
      <c r="M274" s="1441" t="s">
        <v>676</v>
      </c>
      <c r="N274" s="1441" t="s">
        <v>1375</v>
      </c>
      <c r="O274" s="1441" t="s">
        <v>1376</v>
      </c>
      <c r="P274" s="1441" t="s">
        <v>1377</v>
      </c>
      <c r="Q274" s="1441" t="s">
        <v>673</v>
      </c>
    </row>
    <row r="275" spans="1:17" ht="178.5">
      <c r="A275" s="1440"/>
      <c r="B275" s="1441">
        <v>5</v>
      </c>
      <c r="C275" s="2781" t="s">
        <v>172</v>
      </c>
      <c r="D275" s="2782"/>
      <c r="E275" s="2782"/>
      <c r="F275" s="2783"/>
      <c r="G275" s="1441" t="s">
        <v>1093</v>
      </c>
      <c r="H275" s="2784">
        <v>99983</v>
      </c>
      <c r="I275" s="2785"/>
      <c r="J275" s="2786"/>
      <c r="K275" s="1442" t="s">
        <v>676</v>
      </c>
      <c r="L275" s="1442">
        <v>99983</v>
      </c>
      <c r="M275" s="1441" t="s">
        <v>676</v>
      </c>
      <c r="N275" s="1441" t="s">
        <v>1378</v>
      </c>
      <c r="O275" s="1441" t="s">
        <v>1379</v>
      </c>
      <c r="P275" s="1441" t="s">
        <v>1380</v>
      </c>
      <c r="Q275" s="1441" t="s">
        <v>673</v>
      </c>
    </row>
    <row r="276" spans="1:17" ht="127.5">
      <c r="A276" s="1440"/>
      <c r="B276" s="1441">
        <v>6</v>
      </c>
      <c r="C276" s="2781" t="s">
        <v>827</v>
      </c>
      <c r="D276" s="2782"/>
      <c r="E276" s="2782"/>
      <c r="F276" s="2783"/>
      <c r="G276" s="1441" t="s">
        <v>1093</v>
      </c>
      <c r="H276" s="2784">
        <v>125000</v>
      </c>
      <c r="I276" s="2785"/>
      <c r="J276" s="2786"/>
      <c r="K276" s="1442" t="s">
        <v>688</v>
      </c>
      <c r="L276" s="1442">
        <v>95370</v>
      </c>
      <c r="M276" s="1441" t="s">
        <v>1381</v>
      </c>
      <c r="N276" s="1441" t="s">
        <v>1382</v>
      </c>
      <c r="O276" s="1441" t="s">
        <v>1383</v>
      </c>
      <c r="P276" s="1441" t="s">
        <v>1384</v>
      </c>
      <c r="Q276" s="1441" t="s">
        <v>673</v>
      </c>
    </row>
    <row r="277" spans="1:17" ht="204">
      <c r="A277" s="1440"/>
      <c r="B277" s="1441">
        <v>7</v>
      </c>
      <c r="C277" s="2781" t="s">
        <v>1385</v>
      </c>
      <c r="D277" s="2782"/>
      <c r="E277" s="2782"/>
      <c r="F277" s="2783"/>
      <c r="G277" s="1441" t="s">
        <v>1093</v>
      </c>
      <c r="H277" s="2784">
        <v>90160</v>
      </c>
      <c r="I277" s="2785"/>
      <c r="J277" s="2786"/>
      <c r="K277" s="1442" t="s">
        <v>676</v>
      </c>
      <c r="L277" s="1442">
        <v>90160</v>
      </c>
      <c r="M277" s="1441" t="s">
        <v>676</v>
      </c>
      <c r="N277" s="1441" t="s">
        <v>1386</v>
      </c>
      <c r="O277" s="1441" t="s">
        <v>1387</v>
      </c>
      <c r="P277" s="1441" t="s">
        <v>1388</v>
      </c>
      <c r="Q277" s="1441" t="s">
        <v>673</v>
      </c>
    </row>
    <row r="278" spans="1:17" ht="76.5">
      <c r="A278" s="1440"/>
      <c r="B278" s="1441">
        <v>8</v>
      </c>
      <c r="C278" s="2781" t="s">
        <v>1389</v>
      </c>
      <c r="D278" s="2782"/>
      <c r="E278" s="2782"/>
      <c r="F278" s="2783"/>
      <c r="G278" s="1441" t="s">
        <v>1093</v>
      </c>
      <c r="H278" s="2784">
        <v>108333</v>
      </c>
      <c r="I278" s="2785"/>
      <c r="J278" s="2786"/>
      <c r="K278" s="1442" t="s">
        <v>688</v>
      </c>
      <c r="L278" s="1442">
        <v>94622</v>
      </c>
      <c r="M278" s="1441" t="s">
        <v>1390</v>
      </c>
      <c r="N278" s="1441" t="s">
        <v>1053</v>
      </c>
      <c r="O278" s="1441" t="s">
        <v>1054</v>
      </c>
      <c r="P278" s="1441" t="s">
        <v>1384</v>
      </c>
      <c r="Q278" s="1441" t="s">
        <v>673</v>
      </c>
    </row>
    <row r="279" spans="1:17" ht="153">
      <c r="A279" s="1419"/>
      <c r="B279" s="1441">
        <v>9</v>
      </c>
      <c r="C279" s="2781" t="s">
        <v>1391</v>
      </c>
      <c r="D279" s="2782"/>
      <c r="E279" s="2782"/>
      <c r="F279" s="2783"/>
      <c r="G279" s="1441" t="s">
        <v>1392</v>
      </c>
      <c r="H279" s="2784">
        <v>100000</v>
      </c>
      <c r="I279" s="2785"/>
      <c r="J279" s="2786"/>
      <c r="K279" s="1442" t="s">
        <v>676</v>
      </c>
      <c r="L279" s="1442">
        <v>99166</v>
      </c>
      <c r="M279" s="1441" t="s">
        <v>676</v>
      </c>
      <c r="N279" s="1441" t="s">
        <v>1393</v>
      </c>
      <c r="O279" s="1441" t="s">
        <v>1394</v>
      </c>
      <c r="P279" s="1441" t="s">
        <v>1395</v>
      </c>
      <c r="Q279" s="1441" t="s">
        <v>673</v>
      </c>
    </row>
    <row r="280" spans="1:17" ht="89.25">
      <c r="A280" s="1419"/>
      <c r="B280" s="1441">
        <v>10</v>
      </c>
      <c r="C280" s="2781" t="s">
        <v>1396</v>
      </c>
      <c r="D280" s="2782"/>
      <c r="E280" s="2782"/>
      <c r="F280" s="2783"/>
      <c r="G280" s="1441" t="s">
        <v>1093</v>
      </c>
      <c r="H280" s="2784">
        <v>1230113</v>
      </c>
      <c r="I280" s="2785"/>
      <c r="J280" s="2786"/>
      <c r="K280" s="1442" t="s">
        <v>892</v>
      </c>
      <c r="L280" s="1442">
        <v>1189305</v>
      </c>
      <c r="M280" s="1441" t="s">
        <v>1397</v>
      </c>
      <c r="N280" s="1441" t="s">
        <v>1398</v>
      </c>
      <c r="O280" s="1441" t="s">
        <v>1399</v>
      </c>
      <c r="P280" s="1441" t="s">
        <v>1400</v>
      </c>
      <c r="Q280" s="1441" t="s">
        <v>704</v>
      </c>
    </row>
    <row r="281" spans="1:17" ht="165.75">
      <c r="A281" s="1419"/>
      <c r="B281" s="1441">
        <v>11</v>
      </c>
      <c r="C281" s="2781" t="s">
        <v>1401</v>
      </c>
      <c r="D281" s="2782"/>
      <c r="E281" s="2782"/>
      <c r="F281" s="2783"/>
      <c r="G281" s="1441" t="s">
        <v>1093</v>
      </c>
      <c r="H281" s="2784">
        <v>1838836</v>
      </c>
      <c r="I281" s="2785"/>
      <c r="J281" s="2786"/>
      <c r="K281" s="1442" t="s">
        <v>892</v>
      </c>
      <c r="L281" s="1442">
        <v>1835000</v>
      </c>
      <c r="M281" s="1441" t="s">
        <v>1402</v>
      </c>
      <c r="N281" s="1441" t="s">
        <v>1139</v>
      </c>
      <c r="O281" s="1441" t="s">
        <v>1140</v>
      </c>
      <c r="P281" s="1441" t="s">
        <v>1403</v>
      </c>
      <c r="Q281" s="1441" t="s">
        <v>704</v>
      </c>
    </row>
    <row r="282" spans="1:17" ht="15">
      <c r="A282" s="1440"/>
      <c r="B282" s="1435"/>
      <c r="C282" s="2589" t="s">
        <v>761</v>
      </c>
      <c r="D282" s="2589"/>
      <c r="E282" s="2589"/>
      <c r="F282" s="2589"/>
      <c r="G282" s="1435"/>
      <c r="H282" s="2701">
        <f>SUM(H271:H281)</f>
        <v>4417404</v>
      </c>
      <c r="I282" s="2701"/>
      <c r="J282" s="2701"/>
      <c r="K282" s="1433"/>
      <c r="L282" s="1433">
        <f>SUM(L271:L281)</f>
        <v>3856709.9</v>
      </c>
      <c r="M282" s="1434"/>
      <c r="N282" s="1435"/>
      <c r="O282" s="1435"/>
      <c r="P282" s="1435"/>
      <c r="Q282" s="1435"/>
    </row>
    <row r="283" spans="1:17" ht="15">
      <c r="A283" s="1440"/>
      <c r="B283" s="1419"/>
      <c r="C283" s="1419"/>
      <c r="D283" s="1419"/>
      <c r="E283" s="1419"/>
      <c r="F283" s="1419"/>
      <c r="G283" s="1419"/>
      <c r="H283" s="1416"/>
      <c r="I283" s="1416"/>
      <c r="J283" s="1416"/>
      <c r="K283" s="1416"/>
      <c r="L283" s="1416"/>
      <c r="M283" s="1419"/>
      <c r="N283" s="1437" t="s">
        <v>762</v>
      </c>
      <c r="O283" s="1419"/>
      <c r="P283" s="1419"/>
      <c r="Q283" s="1419"/>
    </row>
    <row r="284" spans="1:17" ht="15">
      <c r="A284" s="1440"/>
      <c r="B284" s="1419"/>
      <c r="C284" s="1419"/>
      <c r="D284" s="1419"/>
      <c r="E284" s="1419"/>
      <c r="F284" s="1419"/>
      <c r="G284" s="1419"/>
      <c r="H284" s="1416"/>
      <c r="I284" s="1416"/>
      <c r="J284" s="1416"/>
      <c r="K284" s="1416"/>
      <c r="L284" s="1416"/>
      <c r="M284" s="1419"/>
      <c r="N284" s="1437" t="s">
        <v>763</v>
      </c>
      <c r="O284" s="1419"/>
      <c r="P284" s="1419"/>
      <c r="Q284" s="1419"/>
    </row>
    <row r="285" spans="1:17" ht="23.25">
      <c r="A285" s="2593" t="s">
        <v>652</v>
      </c>
      <c r="B285" s="2593"/>
      <c r="C285" s="2593"/>
      <c r="D285" s="2593"/>
      <c r="E285" s="2593"/>
      <c r="F285" s="2593"/>
      <c r="G285" s="2593"/>
      <c r="H285" s="2593"/>
      <c r="I285" s="1416"/>
      <c r="J285" s="1416"/>
      <c r="K285" s="1416"/>
      <c r="L285" s="1416"/>
      <c r="M285" s="1419"/>
      <c r="N285" s="1419"/>
      <c r="O285" s="1419"/>
      <c r="P285" s="1419"/>
      <c r="Q285" s="1419"/>
    </row>
    <row r="286" spans="1:17" ht="14.25">
      <c r="A286" s="1419"/>
      <c r="B286" s="1419"/>
      <c r="C286" s="1419"/>
      <c r="D286" s="1419"/>
      <c r="E286" s="1419"/>
      <c r="F286" s="1419"/>
      <c r="G286" s="1419"/>
      <c r="H286" s="1416"/>
      <c r="I286" s="1416"/>
      <c r="J286" s="1416"/>
      <c r="K286" s="1416"/>
      <c r="L286" s="1416"/>
      <c r="M286" s="1419"/>
      <c r="N286" s="1419"/>
      <c r="O286" s="1419"/>
      <c r="P286" s="1419"/>
      <c r="Q286" s="1419"/>
    </row>
    <row r="287" spans="1:17" ht="15">
      <c r="A287" s="2595" t="s">
        <v>653</v>
      </c>
      <c r="B287" s="2595"/>
      <c r="C287" s="2595"/>
      <c r="D287" s="1419"/>
      <c r="E287" s="1422" t="s">
        <v>654</v>
      </c>
      <c r="F287" s="1419"/>
      <c r="G287" s="1419"/>
      <c r="H287" s="1416"/>
      <c r="I287" s="1416"/>
      <c r="J287" s="1416"/>
      <c r="K287" s="1416"/>
      <c r="L287" s="1416"/>
      <c r="M287" s="1419"/>
      <c r="N287" s="1419"/>
      <c r="O287" s="1419"/>
      <c r="P287" s="1419"/>
      <c r="Q287" s="1419"/>
    </row>
    <row r="288" spans="1:17" ht="15">
      <c r="A288" s="1440"/>
      <c r="B288" s="1419"/>
      <c r="C288" s="1419"/>
      <c r="D288" s="1419"/>
      <c r="E288" s="1419"/>
      <c r="F288" s="1419"/>
      <c r="G288" s="1419"/>
      <c r="H288" s="1416"/>
      <c r="I288" s="1416"/>
      <c r="J288" s="1416"/>
      <c r="K288" s="1416"/>
      <c r="L288" s="1416"/>
      <c r="M288" s="1419"/>
      <c r="N288" s="1419"/>
      <c r="O288" s="1419"/>
      <c r="P288" s="1419"/>
      <c r="Q288" s="1419"/>
    </row>
    <row r="289" spans="1:18" ht="15">
      <c r="A289" s="2779" t="s">
        <v>655</v>
      </c>
      <c r="B289" s="2779"/>
      <c r="C289" s="2779"/>
      <c r="D289" s="1419"/>
      <c r="E289" s="2597" t="s">
        <v>1404</v>
      </c>
      <c r="F289" s="2596"/>
      <c r="G289" s="2596"/>
      <c r="H289" s="2596"/>
      <c r="I289" s="2596"/>
      <c r="J289" s="1416"/>
      <c r="K289" s="1416"/>
      <c r="L289" s="1416"/>
      <c r="M289" s="1419"/>
      <c r="N289" s="1419"/>
      <c r="O289" s="1419"/>
      <c r="P289" s="1419"/>
      <c r="Q289" s="1419"/>
    </row>
    <row r="290" spans="1:18" ht="14.25">
      <c r="A290" s="1418"/>
      <c r="B290" s="1418"/>
      <c r="C290" s="1418"/>
      <c r="D290" s="1418"/>
      <c r="E290" s="1418"/>
      <c r="F290" s="1418"/>
      <c r="G290" s="1418"/>
      <c r="H290" s="1417"/>
      <c r="I290" s="1417"/>
      <c r="J290" s="1417"/>
      <c r="K290" s="1417"/>
      <c r="L290" s="1417"/>
      <c r="M290" s="1418"/>
      <c r="N290" s="1418"/>
      <c r="O290" s="1418"/>
      <c r="P290" s="1418"/>
      <c r="Q290" s="1418"/>
    </row>
    <row r="291" spans="1:18" ht="408">
      <c r="A291" s="1453"/>
      <c r="B291" s="1499" t="s">
        <v>657</v>
      </c>
      <c r="C291" s="2780" t="s">
        <v>587</v>
      </c>
      <c r="D291" s="2774"/>
      <c r="E291" s="2774"/>
      <c r="F291" s="2775"/>
      <c r="G291" s="1499" t="s">
        <v>658</v>
      </c>
      <c r="H291" s="2780" t="s">
        <v>659</v>
      </c>
      <c r="I291" s="2774"/>
      <c r="J291" s="2775"/>
      <c r="K291" s="1499" t="s">
        <v>660</v>
      </c>
      <c r="L291" s="1499" t="s">
        <v>661</v>
      </c>
      <c r="M291" s="1499" t="s">
        <v>662</v>
      </c>
      <c r="N291" s="1499" t="s">
        <v>663</v>
      </c>
      <c r="O291" s="1499" t="s">
        <v>664</v>
      </c>
      <c r="P291" s="1499" t="s">
        <v>1204</v>
      </c>
      <c r="Q291" s="1499" t="s">
        <v>1205</v>
      </c>
    </row>
    <row r="292" spans="1:18" ht="153">
      <c r="A292" s="1453"/>
      <c r="B292" s="1500">
        <v>1</v>
      </c>
      <c r="C292" s="2773" t="s">
        <v>1405</v>
      </c>
      <c r="D292" s="2774"/>
      <c r="E292" s="2774"/>
      <c r="F292" s="2775"/>
      <c r="G292" s="1500" t="s">
        <v>1406</v>
      </c>
      <c r="H292" s="2776">
        <v>250000</v>
      </c>
      <c r="I292" s="2777"/>
      <c r="J292" s="2778"/>
      <c r="K292" s="1501" t="s">
        <v>688</v>
      </c>
      <c r="L292" s="1501">
        <v>245000</v>
      </c>
      <c r="M292" s="1500" t="s">
        <v>1407</v>
      </c>
      <c r="N292" s="1500" t="s">
        <v>1408</v>
      </c>
      <c r="O292" s="1500" t="s">
        <v>1409</v>
      </c>
      <c r="P292" s="1500" t="s">
        <v>1410</v>
      </c>
      <c r="Q292" s="1500" t="s">
        <v>704</v>
      </c>
    </row>
    <row r="293" spans="1:18" ht="127.5">
      <c r="A293" s="1453"/>
      <c r="B293" s="1500">
        <v>2</v>
      </c>
      <c r="C293" s="2773" t="s">
        <v>1411</v>
      </c>
      <c r="D293" s="2774"/>
      <c r="E293" s="2774"/>
      <c r="F293" s="2775"/>
      <c r="G293" s="1500" t="s">
        <v>1412</v>
      </c>
      <c r="H293" s="2776">
        <v>46000</v>
      </c>
      <c r="I293" s="2777"/>
      <c r="J293" s="2778"/>
      <c r="K293" s="1501" t="s">
        <v>676</v>
      </c>
      <c r="L293" s="1501">
        <v>39991</v>
      </c>
      <c r="M293" s="1500" t="s">
        <v>676</v>
      </c>
      <c r="N293" s="1500" t="s">
        <v>1413</v>
      </c>
      <c r="O293" s="1500" t="s">
        <v>1414</v>
      </c>
      <c r="P293" s="1500" t="s">
        <v>1415</v>
      </c>
      <c r="Q293" s="1500" t="s">
        <v>704</v>
      </c>
    </row>
    <row r="294" spans="1:18" ht="89.25">
      <c r="A294" s="1453"/>
      <c r="B294" s="1500">
        <v>3</v>
      </c>
      <c r="C294" s="2773" t="s">
        <v>1416</v>
      </c>
      <c r="D294" s="2774"/>
      <c r="E294" s="2774"/>
      <c r="F294" s="2775"/>
      <c r="G294" s="1500" t="s">
        <v>699</v>
      </c>
      <c r="H294" s="2776">
        <v>608000</v>
      </c>
      <c r="I294" s="2777"/>
      <c r="J294" s="2778"/>
      <c r="K294" s="1501" t="s">
        <v>688</v>
      </c>
      <c r="L294" s="1501">
        <v>494978</v>
      </c>
      <c r="M294" s="1500" t="s">
        <v>1417</v>
      </c>
      <c r="N294" s="1500" t="s">
        <v>1418</v>
      </c>
      <c r="O294" s="1500" t="s">
        <v>1419</v>
      </c>
      <c r="P294" s="1500" t="s">
        <v>1410</v>
      </c>
      <c r="Q294" s="1500" t="s">
        <v>704</v>
      </c>
    </row>
    <row r="295" spans="1:18" ht="242.25">
      <c r="A295" s="1453"/>
      <c r="B295" s="1500">
        <v>4</v>
      </c>
      <c r="C295" s="2773" t="s">
        <v>1420</v>
      </c>
      <c r="D295" s="2774"/>
      <c r="E295" s="2774"/>
      <c r="F295" s="2775"/>
      <c r="G295" s="1500" t="s">
        <v>1039</v>
      </c>
      <c r="H295" s="2776">
        <v>500000</v>
      </c>
      <c r="I295" s="2777"/>
      <c r="J295" s="2778"/>
      <c r="K295" s="1501" t="s">
        <v>688</v>
      </c>
      <c r="L295" s="1501">
        <v>327098</v>
      </c>
      <c r="M295" s="1500" t="s">
        <v>1421</v>
      </c>
      <c r="N295" s="1500" t="s">
        <v>1422</v>
      </c>
      <c r="O295" s="1500" t="s">
        <v>1423</v>
      </c>
      <c r="P295" s="1500" t="s">
        <v>1410</v>
      </c>
      <c r="Q295" s="1500" t="s">
        <v>704</v>
      </c>
    </row>
    <row r="296" spans="1:18" ht="89.25">
      <c r="A296" s="1453"/>
      <c r="B296" s="1500">
        <v>5</v>
      </c>
      <c r="C296" s="2773" t="s">
        <v>1424</v>
      </c>
      <c r="D296" s="2774"/>
      <c r="E296" s="2774"/>
      <c r="F296" s="2775"/>
      <c r="G296" s="1500" t="s">
        <v>1183</v>
      </c>
      <c r="H296" s="2776">
        <v>1917000</v>
      </c>
      <c r="I296" s="2777"/>
      <c r="J296" s="2778"/>
      <c r="K296" s="1501" t="s">
        <v>892</v>
      </c>
      <c r="L296" s="1501">
        <v>1916030</v>
      </c>
      <c r="M296" s="1500" t="s">
        <v>1425</v>
      </c>
      <c r="N296" s="1500" t="s">
        <v>1418</v>
      </c>
      <c r="O296" s="1500" t="s">
        <v>1419</v>
      </c>
      <c r="P296" s="1500" t="s">
        <v>1403</v>
      </c>
      <c r="Q296" s="1500" t="s">
        <v>704</v>
      </c>
    </row>
    <row r="297" spans="1:18" ht="114.75">
      <c r="A297" s="1453"/>
      <c r="B297" s="1500">
        <v>6</v>
      </c>
      <c r="C297" s="2773" t="s">
        <v>1426</v>
      </c>
      <c r="D297" s="2774"/>
      <c r="E297" s="2774"/>
      <c r="F297" s="2775"/>
      <c r="G297" s="1500" t="s">
        <v>1427</v>
      </c>
      <c r="H297" s="2776">
        <v>200000</v>
      </c>
      <c r="I297" s="2777"/>
      <c r="J297" s="2778"/>
      <c r="K297" s="1501" t="s">
        <v>688</v>
      </c>
      <c r="L297" s="1501">
        <v>174000</v>
      </c>
      <c r="M297" s="1500" t="s">
        <v>1428</v>
      </c>
      <c r="N297" s="1500" t="s">
        <v>925</v>
      </c>
      <c r="O297" s="1500" t="s">
        <v>926</v>
      </c>
      <c r="P297" s="1500" t="s">
        <v>1410</v>
      </c>
      <c r="Q297" s="1500" t="s">
        <v>704</v>
      </c>
    </row>
    <row r="298" spans="1:18" ht="14.25">
      <c r="A298" s="1419"/>
      <c r="B298" s="1435"/>
      <c r="C298" s="2589" t="s">
        <v>761</v>
      </c>
      <c r="D298" s="2589"/>
      <c r="E298" s="2589"/>
      <c r="F298" s="2589"/>
      <c r="G298" s="1435"/>
      <c r="H298" s="2701">
        <f>SUM(H292:H297)</f>
        <v>3521000</v>
      </c>
      <c r="I298" s="2701"/>
      <c r="J298" s="2701"/>
      <c r="K298" s="1433"/>
      <c r="L298" s="1433">
        <f>SUM(L292:L297)</f>
        <v>3197097</v>
      </c>
      <c r="M298" s="1434"/>
      <c r="N298" s="1435"/>
      <c r="O298" s="1435"/>
      <c r="P298" s="1435"/>
      <c r="Q298" s="1435"/>
    </row>
    <row r="300" spans="1:18" ht="23.25">
      <c r="B300" s="2593" t="s">
        <v>652</v>
      </c>
      <c r="C300" s="2594"/>
      <c r="D300" s="2594"/>
      <c r="E300" s="2594"/>
      <c r="F300" s="2594"/>
      <c r="G300" s="2594"/>
      <c r="H300" s="2594"/>
      <c r="I300" s="2594"/>
      <c r="J300" s="1416"/>
      <c r="K300" s="1417"/>
      <c r="L300" s="1417"/>
      <c r="M300" s="1417"/>
      <c r="N300" s="1418"/>
      <c r="O300" s="1418"/>
      <c r="P300" s="1418"/>
      <c r="Q300" s="1418"/>
      <c r="R300" s="1418"/>
    </row>
    <row r="301" spans="1:18" ht="23.25">
      <c r="B301" s="1502"/>
      <c r="C301" s="1503"/>
      <c r="D301" s="1503"/>
      <c r="E301" s="1503"/>
      <c r="F301" s="1503"/>
      <c r="G301" s="1503"/>
      <c r="H301" s="1503"/>
      <c r="I301" s="1503"/>
      <c r="J301" s="1416"/>
      <c r="K301" s="1417"/>
      <c r="L301" s="1417"/>
      <c r="M301" s="1417"/>
      <c r="N301" s="1418"/>
      <c r="O301" s="1418"/>
      <c r="P301" s="1418"/>
      <c r="Q301" s="1418"/>
      <c r="R301" s="1418"/>
    </row>
    <row r="302" spans="1:18" ht="14.25">
      <c r="B302" s="2595" t="s">
        <v>653</v>
      </c>
      <c r="C302" s="2596"/>
      <c r="D302" s="2596"/>
      <c r="E302" s="1419"/>
      <c r="F302" s="1422" t="s">
        <v>654</v>
      </c>
      <c r="G302" s="1419"/>
      <c r="H302" s="1419"/>
      <c r="I302" s="1416"/>
      <c r="J302" s="1416"/>
      <c r="K302" s="1417"/>
      <c r="L302" s="1417"/>
      <c r="M302" s="1417"/>
      <c r="N302" s="1418"/>
      <c r="O302" s="1418"/>
      <c r="P302" s="1418"/>
      <c r="Q302" s="1418"/>
      <c r="R302" s="1418"/>
    </row>
    <row r="303" spans="1:18" ht="15">
      <c r="B303" s="1504"/>
      <c r="C303" s="1419"/>
      <c r="D303" s="1419"/>
      <c r="E303" s="1419"/>
      <c r="F303" s="1422"/>
      <c r="G303" s="1419"/>
      <c r="H303" s="1419"/>
      <c r="I303" s="1416"/>
      <c r="J303" s="1416"/>
      <c r="K303" s="1417"/>
      <c r="L303" s="1417"/>
      <c r="M303" s="1417"/>
      <c r="N303" s="1418"/>
      <c r="O303" s="1418"/>
      <c r="P303" s="1418"/>
      <c r="Q303" s="1418"/>
      <c r="R303" s="1418"/>
    </row>
    <row r="304" spans="1:18" ht="14.25">
      <c r="B304" s="2595" t="s">
        <v>655</v>
      </c>
      <c r="C304" s="2596"/>
      <c r="D304" s="2596"/>
      <c r="E304" s="1419"/>
      <c r="F304" s="2597" t="s">
        <v>1429</v>
      </c>
      <c r="G304" s="2596"/>
      <c r="H304" s="2596"/>
      <c r="I304" s="2596"/>
      <c r="J304" s="2596"/>
      <c r="K304" s="1417"/>
      <c r="L304" s="1417"/>
      <c r="M304" s="1417"/>
      <c r="N304" s="1418"/>
      <c r="O304" s="1418"/>
      <c r="P304" s="1418"/>
      <c r="Q304" s="1418"/>
      <c r="R304" s="1418"/>
    </row>
    <row r="305" spans="2:18" ht="14.25">
      <c r="B305" s="1505"/>
      <c r="C305" s="1419"/>
      <c r="D305" s="1419"/>
      <c r="E305" s="1419"/>
      <c r="F305" s="1463"/>
      <c r="G305" s="1419"/>
      <c r="H305" s="1419"/>
      <c r="I305" s="1419"/>
      <c r="J305" s="1419"/>
      <c r="K305" s="1417"/>
      <c r="L305" s="1417"/>
      <c r="M305" s="1417"/>
      <c r="N305" s="1418"/>
      <c r="O305" s="1418"/>
      <c r="P305" s="1418"/>
      <c r="Q305" s="1418"/>
      <c r="R305" s="1418"/>
    </row>
    <row r="306" spans="2:18" ht="409.5">
      <c r="B306" s="1453"/>
      <c r="C306" s="1426" t="s">
        <v>657</v>
      </c>
      <c r="D306" s="2588" t="s">
        <v>587</v>
      </c>
      <c r="E306" s="2715"/>
      <c r="F306" s="2715"/>
      <c r="G306" s="2716"/>
      <c r="H306" s="1426" t="s">
        <v>658</v>
      </c>
      <c r="I306" s="2588" t="s">
        <v>659</v>
      </c>
      <c r="J306" s="2715"/>
      <c r="K306" s="2716"/>
      <c r="L306" s="1426" t="s">
        <v>660</v>
      </c>
      <c r="M306" s="1426" t="s">
        <v>661</v>
      </c>
      <c r="N306" s="1426" t="s">
        <v>662</v>
      </c>
      <c r="O306" s="1426" t="s">
        <v>663</v>
      </c>
      <c r="P306" s="1426" t="s">
        <v>664</v>
      </c>
      <c r="Q306" s="1426" t="s">
        <v>665</v>
      </c>
      <c r="R306" s="1426" t="s">
        <v>666</v>
      </c>
    </row>
    <row r="307" spans="2:18" ht="216.75">
      <c r="B307" s="1453"/>
      <c r="C307" s="1427">
        <v>1</v>
      </c>
      <c r="D307" s="2573" t="s">
        <v>1430</v>
      </c>
      <c r="E307" s="2715"/>
      <c r="F307" s="2715"/>
      <c r="G307" s="2716"/>
      <c r="H307" s="1427" t="s">
        <v>1183</v>
      </c>
      <c r="I307" s="2576">
        <v>333334</v>
      </c>
      <c r="J307" s="2717"/>
      <c r="K307" s="2718"/>
      <c r="L307" s="1428" t="s">
        <v>681</v>
      </c>
      <c r="M307" s="1428">
        <v>331450</v>
      </c>
      <c r="N307" s="1427" t="s">
        <v>1431</v>
      </c>
      <c r="O307" s="1427" t="s">
        <v>1221</v>
      </c>
      <c r="P307" s="1427" t="s">
        <v>1222</v>
      </c>
      <c r="Q307" s="1427" t="s">
        <v>1432</v>
      </c>
      <c r="R307" s="1427" t="s">
        <v>673</v>
      </c>
    </row>
    <row r="308" spans="2:18" ht="216.75">
      <c r="B308" s="1453"/>
      <c r="C308" s="1427">
        <v>2</v>
      </c>
      <c r="D308" s="2573" t="s">
        <v>1433</v>
      </c>
      <c r="E308" s="2715"/>
      <c r="F308" s="2715"/>
      <c r="G308" s="2716"/>
      <c r="H308" s="1427" t="s">
        <v>1434</v>
      </c>
      <c r="I308" s="2576">
        <v>416666</v>
      </c>
      <c r="J308" s="2717"/>
      <c r="K308" s="2718"/>
      <c r="L308" s="1428" t="s">
        <v>681</v>
      </c>
      <c r="M308" s="1428">
        <v>416020</v>
      </c>
      <c r="N308" s="1427" t="s">
        <v>1435</v>
      </c>
      <c r="O308" s="1427" t="s">
        <v>683</v>
      </c>
      <c r="P308" s="1427" t="s">
        <v>684</v>
      </c>
      <c r="Q308" s="1427" t="s">
        <v>1436</v>
      </c>
      <c r="R308" s="1427" t="s">
        <v>704</v>
      </c>
    </row>
    <row r="309" spans="2:18" ht="216.75">
      <c r="B309" s="1453"/>
      <c r="C309" s="1427">
        <v>3</v>
      </c>
      <c r="D309" s="2573" t="s">
        <v>1437</v>
      </c>
      <c r="E309" s="2715"/>
      <c r="F309" s="2715"/>
      <c r="G309" s="2716"/>
      <c r="H309" s="1427" t="s">
        <v>1438</v>
      </c>
      <c r="I309" s="2576">
        <v>208334</v>
      </c>
      <c r="J309" s="2717"/>
      <c r="K309" s="2718"/>
      <c r="L309" s="1428" t="s">
        <v>688</v>
      </c>
      <c r="M309" s="1428">
        <v>159000</v>
      </c>
      <c r="N309" s="1427" t="s">
        <v>1439</v>
      </c>
      <c r="O309" s="1427" t="s">
        <v>1058</v>
      </c>
      <c r="P309" s="1427" t="s">
        <v>1059</v>
      </c>
      <c r="Q309" s="1427" t="s">
        <v>1440</v>
      </c>
      <c r="R309" s="1427" t="s">
        <v>704</v>
      </c>
    </row>
    <row r="310" spans="2:18" ht="216.75">
      <c r="B310" s="1453"/>
      <c r="C310" s="2573">
        <v>4</v>
      </c>
      <c r="D310" s="2573" t="s">
        <v>1441</v>
      </c>
      <c r="E310" s="2720"/>
      <c r="F310" s="2720"/>
      <c r="G310" s="2721"/>
      <c r="H310" s="2573" t="s">
        <v>749</v>
      </c>
      <c r="I310" s="2576">
        <v>333334</v>
      </c>
      <c r="J310" s="2725"/>
      <c r="K310" s="2726"/>
      <c r="L310" s="2576" t="s">
        <v>688</v>
      </c>
      <c r="M310" s="1428">
        <v>35000</v>
      </c>
      <c r="N310" s="1427" t="s">
        <v>1442</v>
      </c>
      <c r="O310" s="1427" t="s">
        <v>1443</v>
      </c>
      <c r="P310" s="1427" t="s">
        <v>1444</v>
      </c>
      <c r="Q310" s="1427" t="s">
        <v>1445</v>
      </c>
      <c r="R310" s="1427" t="s">
        <v>704</v>
      </c>
    </row>
    <row r="311" spans="2:18" ht="216.75">
      <c r="B311" s="1453"/>
      <c r="C311" s="2719"/>
      <c r="D311" s="2722"/>
      <c r="E311" s="2723"/>
      <c r="F311" s="2723"/>
      <c r="G311" s="2724"/>
      <c r="H311" s="2719"/>
      <c r="I311" s="2727"/>
      <c r="J311" s="2728"/>
      <c r="K311" s="2729"/>
      <c r="L311" s="2730"/>
      <c r="M311" s="1428">
        <v>220000</v>
      </c>
      <c r="N311" s="1427" t="s">
        <v>1446</v>
      </c>
      <c r="O311" s="1427" t="s">
        <v>670</v>
      </c>
      <c r="P311" s="1427" t="s">
        <v>671</v>
      </c>
      <c r="Q311" s="1427" t="s">
        <v>1445</v>
      </c>
      <c r="R311" s="1427" t="s">
        <v>704</v>
      </c>
    </row>
    <row r="312" spans="2:18" ht="63.75">
      <c r="B312" s="1453"/>
      <c r="C312" s="1427">
        <v>5</v>
      </c>
      <c r="D312" s="2573" t="s">
        <v>1447</v>
      </c>
      <c r="E312" s="2715"/>
      <c r="F312" s="2715"/>
      <c r="G312" s="2716"/>
      <c r="H312" s="1427" t="s">
        <v>1448</v>
      </c>
      <c r="I312" s="2576">
        <v>94050</v>
      </c>
      <c r="J312" s="2717"/>
      <c r="K312" s="2718"/>
      <c r="L312" s="1428" t="s">
        <v>676</v>
      </c>
      <c r="M312" s="1428">
        <v>94050</v>
      </c>
      <c r="N312" s="1427" t="s">
        <v>676</v>
      </c>
      <c r="O312" s="1427" t="s">
        <v>1058</v>
      </c>
      <c r="P312" s="1427" t="s">
        <v>1059</v>
      </c>
      <c r="Q312" s="1427" t="s">
        <v>1449</v>
      </c>
      <c r="R312" s="1427" t="s">
        <v>673</v>
      </c>
    </row>
    <row r="313" spans="2:18" ht="216.75">
      <c r="B313" s="1453"/>
      <c r="C313" s="1427">
        <v>6</v>
      </c>
      <c r="D313" s="2573" t="s">
        <v>1450</v>
      </c>
      <c r="E313" s="2715"/>
      <c r="F313" s="2715"/>
      <c r="G313" s="2716"/>
      <c r="H313" s="1427" t="s">
        <v>1101</v>
      </c>
      <c r="I313" s="2576">
        <v>208334</v>
      </c>
      <c r="J313" s="2717"/>
      <c r="K313" s="2718"/>
      <c r="L313" s="1428" t="s">
        <v>688</v>
      </c>
      <c r="M313" s="1428">
        <v>168000</v>
      </c>
      <c r="N313" s="1427" t="s">
        <v>1451</v>
      </c>
      <c r="O313" s="1427" t="s">
        <v>1452</v>
      </c>
      <c r="P313" s="1427" t="s">
        <v>1453</v>
      </c>
      <c r="Q313" s="1427" t="s">
        <v>1445</v>
      </c>
      <c r="R313" s="1427" t="s">
        <v>704</v>
      </c>
    </row>
    <row r="314" spans="2:18" ht="51">
      <c r="B314" s="1453"/>
      <c r="C314" s="1427">
        <v>7</v>
      </c>
      <c r="D314" s="2573" t="s">
        <v>1454</v>
      </c>
      <c r="E314" s="2715"/>
      <c r="F314" s="2715"/>
      <c r="G314" s="2716"/>
      <c r="H314" s="1427" t="s">
        <v>1455</v>
      </c>
      <c r="I314" s="2576">
        <v>100000</v>
      </c>
      <c r="J314" s="2717"/>
      <c r="K314" s="2718"/>
      <c r="L314" s="1428" t="s">
        <v>676</v>
      </c>
      <c r="M314" s="1428">
        <v>81680</v>
      </c>
      <c r="N314" s="1427" t="s">
        <v>676</v>
      </c>
      <c r="O314" s="1427" t="s">
        <v>1456</v>
      </c>
      <c r="P314" s="1427" t="s">
        <v>1457</v>
      </c>
      <c r="Q314" s="1427" t="s">
        <v>1458</v>
      </c>
      <c r="R314" s="1427" t="s">
        <v>673</v>
      </c>
    </row>
    <row r="315" spans="2:18" ht="216.75">
      <c r="B315" s="1453"/>
      <c r="C315" s="1427">
        <v>8</v>
      </c>
      <c r="D315" s="2573" t="s">
        <v>172</v>
      </c>
      <c r="E315" s="2715"/>
      <c r="F315" s="2715"/>
      <c r="G315" s="2716"/>
      <c r="H315" s="1427" t="s">
        <v>1212</v>
      </c>
      <c r="I315" s="2576">
        <v>166667</v>
      </c>
      <c r="J315" s="2717"/>
      <c r="K315" s="2718"/>
      <c r="L315" s="1428" t="s">
        <v>688</v>
      </c>
      <c r="M315" s="1428">
        <v>104720</v>
      </c>
      <c r="N315" s="1427" t="s">
        <v>1459</v>
      </c>
      <c r="O315" s="1427" t="s">
        <v>708</v>
      </c>
      <c r="P315" s="1427" t="s">
        <v>709</v>
      </c>
      <c r="Q315" s="1427" t="s">
        <v>1445</v>
      </c>
      <c r="R315" s="1427" t="s">
        <v>673</v>
      </c>
    </row>
    <row r="316" spans="2:18" ht="216.75">
      <c r="B316" s="1453"/>
      <c r="C316" s="1427">
        <v>9</v>
      </c>
      <c r="D316" s="2573" t="s">
        <v>1460</v>
      </c>
      <c r="E316" s="2715"/>
      <c r="F316" s="2715"/>
      <c r="G316" s="2716"/>
      <c r="H316" s="1427" t="s">
        <v>1365</v>
      </c>
      <c r="I316" s="2576">
        <v>666667</v>
      </c>
      <c r="J316" s="2717"/>
      <c r="K316" s="2718"/>
      <c r="L316" s="1428" t="s">
        <v>688</v>
      </c>
      <c r="M316" s="1428">
        <v>9</v>
      </c>
      <c r="N316" s="1427" t="s">
        <v>893</v>
      </c>
      <c r="O316" s="1427" t="s">
        <v>1461</v>
      </c>
      <c r="P316" s="1427" t="s">
        <v>1462</v>
      </c>
      <c r="Q316" s="1427" t="s">
        <v>1445</v>
      </c>
      <c r="R316" s="1427" t="s">
        <v>704</v>
      </c>
    </row>
    <row r="317" spans="2:18" ht="216.75">
      <c r="B317" s="1453"/>
      <c r="C317" s="1427">
        <v>10</v>
      </c>
      <c r="D317" s="2573" t="s">
        <v>1463</v>
      </c>
      <c r="E317" s="2715"/>
      <c r="F317" s="2715"/>
      <c r="G317" s="2716"/>
      <c r="H317" s="1427" t="s">
        <v>985</v>
      </c>
      <c r="I317" s="2576">
        <v>250000</v>
      </c>
      <c r="J317" s="2717"/>
      <c r="K317" s="2718"/>
      <c r="L317" s="1428" t="s">
        <v>688</v>
      </c>
      <c r="M317" s="1428">
        <v>149000</v>
      </c>
      <c r="N317" s="1427" t="s">
        <v>1464</v>
      </c>
      <c r="O317" s="1427" t="s">
        <v>1465</v>
      </c>
      <c r="P317" s="1427" t="s">
        <v>1466</v>
      </c>
      <c r="Q317" s="1427" t="s">
        <v>1445</v>
      </c>
      <c r="R317" s="1427" t="s">
        <v>704</v>
      </c>
    </row>
    <row r="318" spans="2:18" ht="140.25">
      <c r="B318" s="1453"/>
      <c r="C318" s="1427">
        <v>11</v>
      </c>
      <c r="D318" s="2573" t="s">
        <v>1467</v>
      </c>
      <c r="E318" s="2715"/>
      <c r="F318" s="2715"/>
      <c r="G318" s="2716"/>
      <c r="H318" s="1427" t="s">
        <v>1468</v>
      </c>
      <c r="I318" s="2576">
        <v>100000</v>
      </c>
      <c r="J318" s="2717"/>
      <c r="K318" s="2718"/>
      <c r="L318" s="1428" t="s">
        <v>676</v>
      </c>
      <c r="M318" s="1428">
        <v>99800</v>
      </c>
      <c r="N318" s="1427" t="s">
        <v>676</v>
      </c>
      <c r="O318" s="1427" t="s">
        <v>1469</v>
      </c>
      <c r="P318" s="1427" t="s">
        <v>1470</v>
      </c>
      <c r="Q318" s="1427" t="s">
        <v>1471</v>
      </c>
      <c r="R318" s="1427" t="s">
        <v>704</v>
      </c>
    </row>
    <row r="319" spans="2:18" ht="216.75">
      <c r="B319" s="1453"/>
      <c r="C319" s="1427">
        <v>12</v>
      </c>
      <c r="D319" s="2573" t="s">
        <v>953</v>
      </c>
      <c r="E319" s="2715"/>
      <c r="F319" s="2715"/>
      <c r="G319" s="2716"/>
      <c r="H319" s="1427" t="s">
        <v>1066</v>
      </c>
      <c r="I319" s="2576">
        <v>250000</v>
      </c>
      <c r="J319" s="2717"/>
      <c r="K319" s="2718"/>
      <c r="L319" s="1428" t="s">
        <v>688</v>
      </c>
      <c r="M319" s="1428">
        <v>208000</v>
      </c>
      <c r="N319" s="1427" t="s">
        <v>1472</v>
      </c>
      <c r="O319" s="1427" t="s">
        <v>1473</v>
      </c>
      <c r="P319" s="1427" t="s">
        <v>1474</v>
      </c>
      <c r="Q319" s="1427" t="s">
        <v>1445</v>
      </c>
      <c r="R319" s="1427" t="s">
        <v>673</v>
      </c>
    </row>
    <row r="320" spans="2:18" ht="216.75">
      <c r="B320" s="1453"/>
      <c r="C320" s="1427">
        <v>13</v>
      </c>
      <c r="D320" s="2573" t="s">
        <v>833</v>
      </c>
      <c r="E320" s="2715"/>
      <c r="F320" s="2715"/>
      <c r="G320" s="2716"/>
      <c r="H320" s="1427" t="s">
        <v>1475</v>
      </c>
      <c r="I320" s="2576">
        <v>200000</v>
      </c>
      <c r="J320" s="2717"/>
      <c r="K320" s="2718"/>
      <c r="L320" s="1428" t="s">
        <v>688</v>
      </c>
      <c r="M320" s="1428">
        <v>197000</v>
      </c>
      <c r="N320" s="1427" t="s">
        <v>1476</v>
      </c>
      <c r="O320" s="1427" t="s">
        <v>1036</v>
      </c>
      <c r="P320" s="1427" t="s">
        <v>1037</v>
      </c>
      <c r="Q320" s="1427" t="s">
        <v>1445</v>
      </c>
      <c r="R320" s="1427" t="s">
        <v>673</v>
      </c>
    </row>
    <row r="321" spans="2:18" ht="216.75">
      <c r="B321" s="1453"/>
      <c r="C321" s="1427">
        <v>14</v>
      </c>
      <c r="D321" s="2573" t="s">
        <v>1477</v>
      </c>
      <c r="E321" s="2715"/>
      <c r="F321" s="2715"/>
      <c r="G321" s="2716"/>
      <c r="H321" s="1427" t="s">
        <v>1478</v>
      </c>
      <c r="I321" s="2576">
        <v>208334</v>
      </c>
      <c r="J321" s="2717"/>
      <c r="K321" s="2718"/>
      <c r="L321" s="1428" t="s">
        <v>688</v>
      </c>
      <c r="M321" s="1428">
        <v>145000</v>
      </c>
      <c r="N321" s="1427" t="s">
        <v>1479</v>
      </c>
      <c r="O321" s="1427" t="s">
        <v>1058</v>
      </c>
      <c r="P321" s="1427" t="s">
        <v>1059</v>
      </c>
      <c r="Q321" s="1427" t="s">
        <v>1445</v>
      </c>
      <c r="R321" s="1427" t="s">
        <v>673</v>
      </c>
    </row>
    <row r="322" spans="2:18" ht="216.75">
      <c r="B322" s="1453"/>
      <c r="C322" s="1427">
        <v>15</v>
      </c>
      <c r="D322" s="2573" t="s">
        <v>1480</v>
      </c>
      <c r="E322" s="2715"/>
      <c r="F322" s="2715"/>
      <c r="G322" s="2716"/>
      <c r="H322" s="1427" t="s">
        <v>1481</v>
      </c>
      <c r="I322" s="2576">
        <v>208334</v>
      </c>
      <c r="J322" s="2717"/>
      <c r="K322" s="2718"/>
      <c r="L322" s="1428" t="s">
        <v>688</v>
      </c>
      <c r="M322" s="1428">
        <v>179000</v>
      </c>
      <c r="N322" s="1427" t="s">
        <v>1482</v>
      </c>
      <c r="O322" s="1427" t="s">
        <v>1483</v>
      </c>
      <c r="P322" s="1427" t="s">
        <v>1484</v>
      </c>
      <c r="Q322" s="1427" t="s">
        <v>1485</v>
      </c>
      <c r="R322" s="1427" t="s">
        <v>704</v>
      </c>
    </row>
    <row r="323" spans="2:18" ht="216.75">
      <c r="B323" s="1453"/>
      <c r="C323" s="2573">
        <v>16</v>
      </c>
      <c r="D323" s="2573" t="s">
        <v>1486</v>
      </c>
      <c r="E323" s="2720"/>
      <c r="F323" s="2720"/>
      <c r="G323" s="2721"/>
      <c r="H323" s="2573" t="s">
        <v>855</v>
      </c>
      <c r="I323" s="2576">
        <v>416667</v>
      </c>
      <c r="J323" s="2725"/>
      <c r="K323" s="2726"/>
      <c r="L323" s="2576" t="s">
        <v>688</v>
      </c>
      <c r="M323" s="1428">
        <v>101000</v>
      </c>
      <c r="N323" s="1427" t="s">
        <v>1487</v>
      </c>
      <c r="O323" s="1427" t="s">
        <v>683</v>
      </c>
      <c r="P323" s="1427" t="s">
        <v>684</v>
      </c>
      <c r="Q323" s="1427" t="s">
        <v>1445</v>
      </c>
      <c r="R323" s="1427" t="s">
        <v>704</v>
      </c>
    </row>
    <row r="324" spans="2:18" ht="216.75">
      <c r="B324" s="1453"/>
      <c r="C324" s="2719"/>
      <c r="D324" s="2722"/>
      <c r="E324" s="2723"/>
      <c r="F324" s="2723"/>
      <c r="G324" s="2724"/>
      <c r="H324" s="2719"/>
      <c r="I324" s="2727"/>
      <c r="J324" s="2728"/>
      <c r="K324" s="2729"/>
      <c r="L324" s="2730"/>
      <c r="M324" s="1428">
        <v>227500</v>
      </c>
      <c r="N324" s="1427" t="s">
        <v>1488</v>
      </c>
      <c r="O324" s="1427" t="s">
        <v>1300</v>
      </c>
      <c r="P324" s="1427" t="s">
        <v>1301</v>
      </c>
      <c r="Q324" s="1427" t="s">
        <v>1445</v>
      </c>
      <c r="R324" s="1427" t="s">
        <v>704</v>
      </c>
    </row>
    <row r="325" spans="2:18" ht="51">
      <c r="B325" s="1453"/>
      <c r="C325" s="1427">
        <v>17</v>
      </c>
      <c r="D325" s="2573" t="s">
        <v>1489</v>
      </c>
      <c r="E325" s="2715"/>
      <c r="F325" s="2715"/>
      <c r="G325" s="2716"/>
      <c r="H325" s="1427" t="s">
        <v>873</v>
      </c>
      <c r="I325" s="2576">
        <v>100000</v>
      </c>
      <c r="J325" s="2717"/>
      <c r="K325" s="2718"/>
      <c r="L325" s="1428" t="s">
        <v>676</v>
      </c>
      <c r="M325" s="1428">
        <v>100000</v>
      </c>
      <c r="N325" s="1427" t="s">
        <v>676</v>
      </c>
      <c r="O325" s="1427" t="s">
        <v>1483</v>
      </c>
      <c r="P325" s="1427" t="s">
        <v>1484</v>
      </c>
      <c r="Q325" s="1427" t="s">
        <v>1490</v>
      </c>
      <c r="R325" s="1427" t="s">
        <v>673</v>
      </c>
    </row>
    <row r="326" spans="2:18" ht="15">
      <c r="B326" s="1453"/>
      <c r="C326" s="2573">
        <v>18</v>
      </c>
      <c r="D326" s="2573" t="s">
        <v>1491</v>
      </c>
      <c r="E326" s="2720"/>
      <c r="F326" s="2720"/>
      <c r="G326" s="2721"/>
      <c r="H326" s="2573" t="s">
        <v>1492</v>
      </c>
      <c r="I326" s="2576">
        <v>100000</v>
      </c>
      <c r="J326" s="2725"/>
      <c r="K326" s="2726"/>
      <c r="L326" s="2576" t="s">
        <v>676</v>
      </c>
      <c r="M326" s="1428">
        <v>19980</v>
      </c>
      <c r="N326" s="1427" t="s">
        <v>676</v>
      </c>
      <c r="O326" s="1427" t="s">
        <v>1473</v>
      </c>
      <c r="P326" s="1427" t="s">
        <v>1474</v>
      </c>
      <c r="Q326" s="1427" t="s">
        <v>1493</v>
      </c>
      <c r="R326" s="1427" t="s">
        <v>673</v>
      </c>
    </row>
    <row r="327" spans="2:18" ht="15">
      <c r="B327" s="1453"/>
      <c r="C327" s="2719"/>
      <c r="D327" s="2722"/>
      <c r="E327" s="2723"/>
      <c r="F327" s="2723"/>
      <c r="G327" s="2724"/>
      <c r="H327" s="2719"/>
      <c r="I327" s="2727"/>
      <c r="J327" s="2728"/>
      <c r="K327" s="2729"/>
      <c r="L327" s="2730"/>
      <c r="M327" s="1428">
        <v>79920</v>
      </c>
      <c r="N327" s="1427" t="s">
        <v>676</v>
      </c>
      <c r="O327" s="1427" t="s">
        <v>1473</v>
      </c>
      <c r="P327" s="1427" t="s">
        <v>1474</v>
      </c>
      <c r="Q327" s="1427" t="s">
        <v>1493</v>
      </c>
      <c r="R327" s="1427" t="s">
        <v>673</v>
      </c>
    </row>
    <row r="328" spans="2:18" ht="89.25">
      <c r="B328" s="1453"/>
      <c r="C328" s="1427">
        <v>19</v>
      </c>
      <c r="D328" s="2573" t="s">
        <v>1494</v>
      </c>
      <c r="E328" s="2715"/>
      <c r="F328" s="2715"/>
      <c r="G328" s="2716"/>
      <c r="H328" s="1427" t="s">
        <v>1495</v>
      </c>
      <c r="I328" s="2576">
        <v>100000</v>
      </c>
      <c r="J328" s="2717"/>
      <c r="K328" s="2718"/>
      <c r="L328" s="1428" t="s">
        <v>676</v>
      </c>
      <c r="M328" s="1428">
        <v>99000</v>
      </c>
      <c r="N328" s="1427" t="s">
        <v>676</v>
      </c>
      <c r="O328" s="1427" t="s">
        <v>683</v>
      </c>
      <c r="P328" s="1427" t="s">
        <v>684</v>
      </c>
      <c r="Q328" s="1427" t="s">
        <v>1458</v>
      </c>
      <c r="R328" s="1427" t="s">
        <v>673</v>
      </c>
    </row>
    <row r="329" spans="2:18" ht="51">
      <c r="B329" s="1453"/>
      <c r="C329" s="1427">
        <v>20</v>
      </c>
      <c r="D329" s="2573" t="s">
        <v>1496</v>
      </c>
      <c r="E329" s="2715"/>
      <c r="F329" s="2715"/>
      <c r="G329" s="2716"/>
      <c r="H329" s="1427" t="s">
        <v>1497</v>
      </c>
      <c r="I329" s="2576">
        <v>100000</v>
      </c>
      <c r="J329" s="2717"/>
      <c r="K329" s="2718"/>
      <c r="L329" s="1428" t="s">
        <v>676</v>
      </c>
      <c r="M329" s="1428">
        <v>99700</v>
      </c>
      <c r="N329" s="1427" t="s">
        <v>676</v>
      </c>
      <c r="O329" s="1427" t="s">
        <v>1473</v>
      </c>
      <c r="P329" s="1427" t="s">
        <v>1474</v>
      </c>
      <c r="Q329" s="1427" t="s">
        <v>1498</v>
      </c>
      <c r="R329" s="1427" t="s">
        <v>673</v>
      </c>
    </row>
    <row r="330" spans="2:18" ht="102">
      <c r="B330" s="1453"/>
      <c r="C330" s="1427">
        <v>21</v>
      </c>
      <c r="D330" s="2573" t="s">
        <v>1499</v>
      </c>
      <c r="E330" s="2715"/>
      <c r="F330" s="2715"/>
      <c r="G330" s="2716"/>
      <c r="H330" s="1427" t="s">
        <v>1260</v>
      </c>
      <c r="I330" s="2576">
        <v>100000</v>
      </c>
      <c r="J330" s="2717"/>
      <c r="K330" s="2718"/>
      <c r="L330" s="1428" t="s">
        <v>676</v>
      </c>
      <c r="M330" s="1428">
        <v>99500</v>
      </c>
      <c r="N330" s="1427" t="s">
        <v>676</v>
      </c>
      <c r="O330" s="1427" t="s">
        <v>1500</v>
      </c>
      <c r="P330" s="1427" t="s">
        <v>1501</v>
      </c>
      <c r="Q330" s="1427" t="s">
        <v>1502</v>
      </c>
      <c r="R330" s="1427" t="s">
        <v>704</v>
      </c>
    </row>
    <row r="331" spans="2:18" ht="178.5">
      <c r="B331" s="1453"/>
      <c r="C331" s="1427">
        <v>22</v>
      </c>
      <c r="D331" s="2573" t="s">
        <v>1503</v>
      </c>
      <c r="E331" s="2715"/>
      <c r="F331" s="2715"/>
      <c r="G331" s="2716"/>
      <c r="H331" s="1427" t="s">
        <v>1504</v>
      </c>
      <c r="I331" s="2576">
        <v>100000</v>
      </c>
      <c r="J331" s="2717"/>
      <c r="K331" s="2718"/>
      <c r="L331" s="1428" t="s">
        <v>676</v>
      </c>
      <c r="M331" s="1428">
        <v>98450</v>
      </c>
      <c r="N331" s="1427" t="s">
        <v>676</v>
      </c>
      <c r="O331" s="1427" t="s">
        <v>1500</v>
      </c>
      <c r="P331" s="1427" t="s">
        <v>1501</v>
      </c>
      <c r="Q331" s="1427" t="s">
        <v>1505</v>
      </c>
      <c r="R331" s="1427" t="s">
        <v>673</v>
      </c>
    </row>
    <row r="332" spans="2:18" ht="102">
      <c r="B332" s="1453"/>
      <c r="C332" s="1427">
        <v>23</v>
      </c>
      <c r="D332" s="2573" t="s">
        <v>1506</v>
      </c>
      <c r="E332" s="2715"/>
      <c r="F332" s="2715"/>
      <c r="G332" s="2716"/>
      <c r="H332" s="1427" t="s">
        <v>1260</v>
      </c>
      <c r="I332" s="2576">
        <v>100000</v>
      </c>
      <c r="J332" s="2717"/>
      <c r="K332" s="2718"/>
      <c r="L332" s="1428" t="s">
        <v>676</v>
      </c>
      <c r="M332" s="1428">
        <v>99880</v>
      </c>
      <c r="N332" s="1427" t="s">
        <v>676</v>
      </c>
      <c r="O332" s="1427" t="s">
        <v>1088</v>
      </c>
      <c r="P332" s="1427" t="s">
        <v>1089</v>
      </c>
      <c r="Q332" s="1427" t="s">
        <v>1507</v>
      </c>
      <c r="R332" s="1427" t="s">
        <v>704</v>
      </c>
    </row>
    <row r="333" spans="2:18" ht="216.75">
      <c r="B333" s="1453"/>
      <c r="C333" s="1427">
        <v>24</v>
      </c>
      <c r="D333" s="2573" t="s">
        <v>1508</v>
      </c>
      <c r="E333" s="2715"/>
      <c r="F333" s="2715"/>
      <c r="G333" s="2716"/>
      <c r="H333" s="1427" t="s">
        <v>1093</v>
      </c>
      <c r="I333" s="2576">
        <v>15990</v>
      </c>
      <c r="J333" s="2717"/>
      <c r="K333" s="2718"/>
      <c r="L333" s="1428" t="s">
        <v>676</v>
      </c>
      <c r="M333" s="1428">
        <v>15990</v>
      </c>
      <c r="N333" s="1427" t="s">
        <v>1509</v>
      </c>
      <c r="O333" s="1427" t="s">
        <v>1510</v>
      </c>
      <c r="P333" s="1427" t="s">
        <v>1511</v>
      </c>
      <c r="Q333" s="1427" t="s">
        <v>1512</v>
      </c>
      <c r="R333" s="1427" t="s">
        <v>673</v>
      </c>
    </row>
    <row r="334" spans="2:18" ht="216.75">
      <c r="B334" s="1453"/>
      <c r="C334" s="1427">
        <v>25</v>
      </c>
      <c r="D334" s="2573" t="s">
        <v>1513</v>
      </c>
      <c r="E334" s="2715"/>
      <c r="F334" s="2715"/>
      <c r="G334" s="2716"/>
      <c r="H334" s="1427" t="s">
        <v>1081</v>
      </c>
      <c r="I334" s="2576">
        <v>75400</v>
      </c>
      <c r="J334" s="2717"/>
      <c r="K334" s="2718"/>
      <c r="L334" s="1428" t="s">
        <v>676</v>
      </c>
      <c r="M334" s="1428">
        <v>75400</v>
      </c>
      <c r="N334" s="1427" t="s">
        <v>1514</v>
      </c>
      <c r="O334" s="1427" t="s">
        <v>1226</v>
      </c>
      <c r="P334" s="1427" t="s">
        <v>1227</v>
      </c>
      <c r="Q334" s="1427" t="s">
        <v>1515</v>
      </c>
      <c r="R334" s="1427" t="s">
        <v>673</v>
      </c>
    </row>
    <row r="335" spans="2:18" ht="102">
      <c r="B335" s="1453"/>
      <c r="C335" s="1454">
        <v>26</v>
      </c>
      <c r="D335" s="2683" t="s">
        <v>1516</v>
      </c>
      <c r="E335" s="2720"/>
      <c r="F335" s="2720"/>
      <c r="G335" s="2721"/>
      <c r="H335" s="1454" t="s">
        <v>1260</v>
      </c>
      <c r="I335" s="2686">
        <v>100000</v>
      </c>
      <c r="J335" s="2725"/>
      <c r="K335" s="2726"/>
      <c r="L335" s="1455" t="s">
        <v>676</v>
      </c>
      <c r="M335" s="1455">
        <v>100000</v>
      </c>
      <c r="N335" s="1454" t="s">
        <v>676</v>
      </c>
      <c r="O335" s="1454" t="s">
        <v>1300</v>
      </c>
      <c r="P335" s="1454" t="s">
        <v>1301</v>
      </c>
      <c r="Q335" s="1454" t="s">
        <v>1517</v>
      </c>
      <c r="R335" s="1454" t="s">
        <v>673</v>
      </c>
    </row>
    <row r="336" spans="2:18" ht="216.75">
      <c r="B336" s="1453"/>
      <c r="C336" s="1449">
        <v>27</v>
      </c>
      <c r="D336" s="2689" t="s">
        <v>1518</v>
      </c>
      <c r="E336" s="2771"/>
      <c r="F336" s="2771"/>
      <c r="G336" s="2771"/>
      <c r="H336" s="1449" t="s">
        <v>1066</v>
      </c>
      <c r="I336" s="2691">
        <v>333334</v>
      </c>
      <c r="J336" s="2772"/>
      <c r="K336" s="2772"/>
      <c r="L336" s="1450" t="s">
        <v>688</v>
      </c>
      <c r="M336" s="1450">
        <v>268000</v>
      </c>
      <c r="N336" s="1449" t="s">
        <v>1519</v>
      </c>
      <c r="O336" s="1449" t="s">
        <v>1028</v>
      </c>
      <c r="P336" s="1449" t="s">
        <v>1029</v>
      </c>
      <c r="Q336" s="1449" t="s">
        <v>1445</v>
      </c>
      <c r="R336" s="1449" t="s">
        <v>704</v>
      </c>
    </row>
    <row r="337" spans="2:18" ht="51">
      <c r="B337" s="1453"/>
      <c r="C337" s="1506">
        <v>28</v>
      </c>
      <c r="D337" s="2766" t="s">
        <v>1520</v>
      </c>
      <c r="E337" s="2767"/>
      <c r="F337" s="2767"/>
      <c r="G337" s="2768"/>
      <c r="H337" s="1427" t="s">
        <v>1183</v>
      </c>
      <c r="I337" s="2769">
        <v>210590</v>
      </c>
      <c r="J337" s="2770"/>
      <c r="K337" s="2770"/>
      <c r="L337" s="1507"/>
      <c r="M337" s="1508">
        <v>201578</v>
      </c>
      <c r="N337" s="1509"/>
      <c r="O337" s="1427" t="s">
        <v>670</v>
      </c>
      <c r="P337" s="1427" t="s">
        <v>671</v>
      </c>
      <c r="Q337" s="1509"/>
      <c r="R337" s="1509"/>
    </row>
    <row r="338" spans="2:18" ht="14.25">
      <c r="B338" s="1418"/>
      <c r="C338" s="1436"/>
      <c r="D338" s="2589" t="s">
        <v>761</v>
      </c>
      <c r="E338" s="2589"/>
      <c r="F338" s="2589"/>
      <c r="G338" s="2589"/>
      <c r="H338" s="1435"/>
      <c r="I338" s="2590">
        <f>SUM(I307:I337)</f>
        <v>5596035</v>
      </c>
      <c r="J338" s="2591"/>
      <c r="K338" s="2592"/>
      <c r="L338" s="1433"/>
      <c r="M338" s="1433">
        <f>SUM(M307:M337)</f>
        <v>4273627</v>
      </c>
      <c r="N338" s="1434"/>
      <c r="O338" s="1435"/>
      <c r="P338" s="1436"/>
      <c r="Q338" s="1436"/>
      <c r="R338" s="1436"/>
    </row>
    <row r="339" spans="2:18" ht="15">
      <c r="B339" s="1418"/>
      <c r="C339" s="1510"/>
      <c r="D339" s="1473"/>
      <c r="E339" s="1473"/>
      <c r="F339" s="1473"/>
      <c r="G339" s="1473"/>
      <c r="H339" s="1473"/>
      <c r="I339" s="1475"/>
      <c r="J339" s="1475"/>
      <c r="K339" s="1475"/>
      <c r="L339" s="1475"/>
      <c r="M339" s="1475"/>
      <c r="N339" s="1476"/>
      <c r="O339" s="1437" t="s">
        <v>762</v>
      </c>
      <c r="P339" s="1510"/>
      <c r="Q339" s="1418"/>
      <c r="R339" s="1418"/>
    </row>
    <row r="340" spans="2:18" ht="15">
      <c r="B340" s="1418"/>
      <c r="C340" s="1510"/>
      <c r="D340" s="1473"/>
      <c r="E340" s="1473"/>
      <c r="F340" s="1473"/>
      <c r="G340" s="1473"/>
      <c r="H340" s="1473"/>
      <c r="I340" s="1475"/>
      <c r="J340" s="1475"/>
      <c r="K340" s="1475"/>
      <c r="L340" s="1475"/>
      <c r="M340" s="1475"/>
      <c r="N340" s="1476"/>
      <c r="O340" s="1437" t="s">
        <v>763</v>
      </c>
      <c r="P340" s="1510"/>
      <c r="Q340" s="1418"/>
      <c r="R340" s="1418"/>
    </row>
    <row r="341" spans="2:18" ht="23.25">
      <c r="B341" s="2593" t="s">
        <v>652</v>
      </c>
      <c r="C341" s="2594"/>
      <c r="D341" s="2594"/>
      <c r="E341" s="2594"/>
      <c r="F341" s="2594"/>
      <c r="G341" s="2594"/>
      <c r="H341" s="2594"/>
      <c r="I341" s="2594"/>
      <c r="J341" s="1511"/>
      <c r="K341" s="1512"/>
      <c r="L341" s="1512"/>
      <c r="M341" s="1512"/>
      <c r="N341" s="1451"/>
      <c r="O341" s="1451"/>
      <c r="P341" s="1451"/>
      <c r="Q341" s="1418"/>
      <c r="R341" s="1418"/>
    </row>
    <row r="342" spans="2:18" ht="23.25">
      <c r="B342" s="1502"/>
      <c r="C342" s="1503"/>
      <c r="D342" s="1503"/>
      <c r="E342" s="1503"/>
      <c r="F342" s="1503"/>
      <c r="G342" s="1503"/>
      <c r="H342" s="1503"/>
      <c r="I342" s="1503"/>
      <c r="J342" s="1511"/>
      <c r="K342" s="1512"/>
      <c r="L342" s="1512"/>
      <c r="M342" s="1512"/>
      <c r="N342" s="1451"/>
      <c r="O342" s="1451"/>
      <c r="P342" s="1451"/>
      <c r="Q342" s="1418"/>
      <c r="R342" s="1418"/>
    </row>
    <row r="343" spans="2:18" ht="14.25">
      <c r="B343" s="2595" t="s">
        <v>653</v>
      </c>
      <c r="C343" s="2596"/>
      <c r="D343" s="2596"/>
      <c r="E343" s="1419"/>
      <c r="F343" s="1422" t="s">
        <v>654</v>
      </c>
      <c r="G343" s="1419"/>
      <c r="H343" s="1419"/>
      <c r="I343" s="1416"/>
      <c r="J343" s="1416"/>
      <c r="K343" s="1417"/>
      <c r="L343" s="1417"/>
      <c r="M343" s="1417"/>
      <c r="N343" s="1418"/>
      <c r="O343" s="1418"/>
      <c r="P343" s="1418"/>
      <c r="Q343" s="1418"/>
      <c r="R343" s="1418"/>
    </row>
    <row r="344" spans="2:18" ht="15">
      <c r="B344" s="1504"/>
      <c r="C344" s="1419"/>
      <c r="D344" s="1419"/>
      <c r="E344" s="1419"/>
      <c r="F344" s="1422"/>
      <c r="G344" s="1419"/>
      <c r="H344" s="1419"/>
      <c r="I344" s="1416"/>
      <c r="J344" s="1416"/>
      <c r="K344" s="1417"/>
      <c r="L344" s="1417"/>
      <c r="M344" s="1417"/>
      <c r="N344" s="1418"/>
      <c r="O344" s="1418"/>
      <c r="P344" s="1418"/>
      <c r="Q344" s="1418"/>
      <c r="R344" s="1418"/>
    </row>
    <row r="345" spans="2:18" ht="14.25">
      <c r="B345" s="2595" t="s">
        <v>655</v>
      </c>
      <c r="C345" s="2596"/>
      <c r="D345" s="2596"/>
      <c r="E345" s="1419"/>
      <c r="F345" s="2597" t="s">
        <v>1521</v>
      </c>
      <c r="G345" s="2596"/>
      <c r="H345" s="2596"/>
      <c r="I345" s="2596"/>
      <c r="J345" s="2596"/>
      <c r="K345" s="1417"/>
      <c r="L345" s="1417"/>
      <c r="M345" s="1417"/>
      <c r="N345" s="1418"/>
      <c r="O345" s="1418"/>
      <c r="P345" s="1418"/>
      <c r="Q345" s="1418"/>
      <c r="R345" s="1418"/>
    </row>
    <row r="346" spans="2:18" ht="14.25">
      <c r="B346" s="1505"/>
      <c r="C346" s="1419"/>
      <c r="D346" s="1419"/>
      <c r="E346" s="1419"/>
      <c r="F346" s="1463"/>
      <c r="G346" s="1419"/>
      <c r="H346" s="1419"/>
      <c r="I346" s="1419"/>
      <c r="J346" s="1419"/>
      <c r="K346" s="1417"/>
      <c r="L346" s="1417"/>
      <c r="M346" s="1417"/>
      <c r="N346" s="1418"/>
      <c r="O346" s="1418"/>
      <c r="P346" s="1418"/>
      <c r="Q346" s="1418"/>
      <c r="R346" s="1418"/>
    </row>
    <row r="347" spans="2:18" ht="409.5">
      <c r="B347" s="1513"/>
      <c r="C347" s="1514" t="s">
        <v>657</v>
      </c>
      <c r="D347" s="2765" t="s">
        <v>587</v>
      </c>
      <c r="E347" s="2754"/>
      <c r="F347" s="2754"/>
      <c r="G347" s="2755"/>
      <c r="H347" s="1514" t="s">
        <v>658</v>
      </c>
      <c r="I347" s="2765" t="s">
        <v>659</v>
      </c>
      <c r="J347" s="2754"/>
      <c r="K347" s="2755"/>
      <c r="L347" s="1514" t="s">
        <v>660</v>
      </c>
      <c r="M347" s="1514" t="s">
        <v>661</v>
      </c>
      <c r="N347" s="1514" t="s">
        <v>662</v>
      </c>
      <c r="O347" s="1514" t="s">
        <v>663</v>
      </c>
      <c r="P347" s="1514" t="s">
        <v>664</v>
      </c>
      <c r="Q347" s="1514" t="s">
        <v>1204</v>
      </c>
      <c r="R347" s="1514" t="s">
        <v>1205</v>
      </c>
    </row>
    <row r="348" spans="2:18" ht="216.75">
      <c r="B348" s="1513"/>
      <c r="C348" s="1515">
        <v>1</v>
      </c>
      <c r="D348" s="2753" t="s">
        <v>1522</v>
      </c>
      <c r="E348" s="2754"/>
      <c r="F348" s="2754"/>
      <c r="G348" s="2755"/>
      <c r="H348" s="1515" t="s">
        <v>1093</v>
      </c>
      <c r="I348" s="2756">
        <v>166667</v>
      </c>
      <c r="J348" s="2757"/>
      <c r="K348" s="2758"/>
      <c r="L348" s="1516" t="s">
        <v>688</v>
      </c>
      <c r="M348" s="1516">
        <v>99400</v>
      </c>
      <c r="N348" s="1515" t="s">
        <v>1523</v>
      </c>
      <c r="O348" s="1515" t="s">
        <v>1524</v>
      </c>
      <c r="P348" s="1515" t="s">
        <v>1525</v>
      </c>
      <c r="Q348" s="1515" t="s">
        <v>1526</v>
      </c>
      <c r="R348" s="1515" t="s">
        <v>704</v>
      </c>
    </row>
    <row r="349" spans="2:18" ht="216.75">
      <c r="B349" s="1513"/>
      <c r="C349" s="1515">
        <v>2</v>
      </c>
      <c r="D349" s="2753" t="s">
        <v>906</v>
      </c>
      <c r="E349" s="2754"/>
      <c r="F349" s="2754"/>
      <c r="G349" s="2755"/>
      <c r="H349" s="1515" t="s">
        <v>1183</v>
      </c>
      <c r="I349" s="2756">
        <v>1000000</v>
      </c>
      <c r="J349" s="2757"/>
      <c r="K349" s="2758"/>
      <c r="L349" s="1516" t="s">
        <v>681</v>
      </c>
      <c r="M349" s="1516">
        <v>988800</v>
      </c>
      <c r="N349" s="1515" t="s">
        <v>1527</v>
      </c>
      <c r="O349" s="1515" t="s">
        <v>683</v>
      </c>
      <c r="P349" s="1515" t="s">
        <v>684</v>
      </c>
      <c r="Q349" s="1515" t="s">
        <v>1528</v>
      </c>
      <c r="R349" s="1515" t="s">
        <v>673</v>
      </c>
    </row>
    <row r="350" spans="2:18" ht="51">
      <c r="B350" s="1513"/>
      <c r="C350" s="1515">
        <v>3</v>
      </c>
      <c r="D350" s="2753" t="s">
        <v>1339</v>
      </c>
      <c r="E350" s="2754"/>
      <c r="F350" s="2754"/>
      <c r="G350" s="2755"/>
      <c r="H350" s="1515" t="s">
        <v>1183</v>
      </c>
      <c r="I350" s="2756">
        <v>100000</v>
      </c>
      <c r="J350" s="2757"/>
      <c r="K350" s="2758"/>
      <c r="L350" s="1516" t="s">
        <v>676</v>
      </c>
      <c r="M350" s="1516">
        <v>95650</v>
      </c>
      <c r="N350" s="1515" t="s">
        <v>676</v>
      </c>
      <c r="O350" s="1515" t="s">
        <v>683</v>
      </c>
      <c r="P350" s="1515" t="s">
        <v>684</v>
      </c>
      <c r="Q350" s="1515" t="s">
        <v>1529</v>
      </c>
      <c r="R350" s="1515" t="s">
        <v>673</v>
      </c>
    </row>
    <row r="351" spans="2:18" ht="331.5">
      <c r="B351" s="1513"/>
      <c r="C351" s="1515">
        <v>4</v>
      </c>
      <c r="D351" s="2753" t="s">
        <v>1530</v>
      </c>
      <c r="E351" s="2754"/>
      <c r="F351" s="2754"/>
      <c r="G351" s="2755"/>
      <c r="H351" s="1515" t="s">
        <v>1531</v>
      </c>
      <c r="I351" s="2756">
        <v>416667</v>
      </c>
      <c r="J351" s="2757"/>
      <c r="K351" s="2758"/>
      <c r="L351" s="1516" t="s">
        <v>688</v>
      </c>
      <c r="M351" s="1516">
        <v>339900</v>
      </c>
      <c r="N351" s="1515" t="s">
        <v>1532</v>
      </c>
      <c r="O351" s="1515" t="s">
        <v>1533</v>
      </c>
      <c r="P351" s="1515" t="s">
        <v>1534</v>
      </c>
      <c r="Q351" s="1515" t="s">
        <v>1535</v>
      </c>
      <c r="R351" s="1515" t="s">
        <v>673</v>
      </c>
    </row>
    <row r="352" spans="2:18" ht="216.75">
      <c r="B352" s="1513"/>
      <c r="C352" s="1515">
        <v>5</v>
      </c>
      <c r="D352" s="2753" t="s">
        <v>1536</v>
      </c>
      <c r="E352" s="2754"/>
      <c r="F352" s="2754"/>
      <c r="G352" s="2755"/>
      <c r="H352" s="1515" t="s">
        <v>1537</v>
      </c>
      <c r="I352" s="2756">
        <v>125000</v>
      </c>
      <c r="J352" s="2757"/>
      <c r="K352" s="2758"/>
      <c r="L352" s="1516" t="s">
        <v>688</v>
      </c>
      <c r="M352" s="1516">
        <v>58000</v>
      </c>
      <c r="N352" s="1515" t="s">
        <v>1538</v>
      </c>
      <c r="O352" s="1515" t="s">
        <v>1539</v>
      </c>
      <c r="P352" s="1515" t="s">
        <v>1540</v>
      </c>
      <c r="Q352" s="1515" t="s">
        <v>1541</v>
      </c>
      <c r="R352" s="1515" t="s">
        <v>704</v>
      </c>
    </row>
    <row r="353" spans="2:18" ht="216.75">
      <c r="B353" s="1513"/>
      <c r="C353" s="1515">
        <v>6</v>
      </c>
      <c r="D353" s="2753" t="s">
        <v>1542</v>
      </c>
      <c r="E353" s="2754"/>
      <c r="F353" s="2754"/>
      <c r="G353" s="2755"/>
      <c r="H353" s="1515" t="s">
        <v>1455</v>
      </c>
      <c r="I353" s="2756">
        <v>100100</v>
      </c>
      <c r="J353" s="2757"/>
      <c r="K353" s="2758"/>
      <c r="L353" s="1516" t="s">
        <v>688</v>
      </c>
      <c r="M353" s="1516">
        <v>60000</v>
      </c>
      <c r="N353" s="1515" t="s">
        <v>1543</v>
      </c>
      <c r="O353" s="1515" t="s">
        <v>695</v>
      </c>
      <c r="P353" s="1515" t="s">
        <v>696</v>
      </c>
      <c r="Q353" s="1515" t="s">
        <v>1535</v>
      </c>
      <c r="R353" s="1515" t="s">
        <v>673</v>
      </c>
    </row>
    <row r="354" spans="2:18" ht="409.5">
      <c r="B354" s="1513"/>
      <c r="C354" s="1515">
        <v>7</v>
      </c>
      <c r="D354" s="2753" t="s">
        <v>1544</v>
      </c>
      <c r="E354" s="2754"/>
      <c r="F354" s="2754"/>
      <c r="G354" s="2755"/>
      <c r="H354" s="1515" t="s">
        <v>1545</v>
      </c>
      <c r="I354" s="2756">
        <v>166667</v>
      </c>
      <c r="J354" s="2757"/>
      <c r="K354" s="2758"/>
      <c r="L354" s="1516" t="s">
        <v>688</v>
      </c>
      <c r="M354" s="1516">
        <v>95650</v>
      </c>
      <c r="N354" s="1515" t="s">
        <v>1546</v>
      </c>
      <c r="O354" s="1515" t="s">
        <v>683</v>
      </c>
      <c r="P354" s="1515" t="s">
        <v>684</v>
      </c>
      <c r="Q354" s="1515" t="s">
        <v>1547</v>
      </c>
      <c r="R354" s="1515" t="s">
        <v>704</v>
      </c>
    </row>
    <row r="355" spans="2:18" ht="216.75">
      <c r="B355" s="1513"/>
      <c r="C355" s="1515">
        <v>8</v>
      </c>
      <c r="D355" s="2753" t="s">
        <v>1548</v>
      </c>
      <c r="E355" s="2754"/>
      <c r="F355" s="2754"/>
      <c r="G355" s="2755"/>
      <c r="H355" s="1515" t="s">
        <v>1093</v>
      </c>
      <c r="I355" s="2756">
        <v>200000</v>
      </c>
      <c r="J355" s="2757"/>
      <c r="K355" s="2758"/>
      <c r="L355" s="1516" t="s">
        <v>688</v>
      </c>
      <c r="M355" s="1516">
        <v>99999</v>
      </c>
      <c r="N355" s="1515" t="s">
        <v>1549</v>
      </c>
      <c r="O355" s="1515" t="s">
        <v>1465</v>
      </c>
      <c r="P355" s="1515" t="s">
        <v>1466</v>
      </c>
      <c r="Q355" s="1515" t="s">
        <v>1277</v>
      </c>
      <c r="R355" s="1515" t="s">
        <v>673</v>
      </c>
    </row>
    <row r="356" spans="2:18" ht="216.75">
      <c r="B356" s="1513"/>
      <c r="C356" s="1515">
        <v>9</v>
      </c>
      <c r="D356" s="2753" t="s">
        <v>1550</v>
      </c>
      <c r="E356" s="2754"/>
      <c r="F356" s="2754"/>
      <c r="G356" s="2755"/>
      <c r="H356" s="1515" t="s">
        <v>1551</v>
      </c>
      <c r="I356" s="2756">
        <v>166667</v>
      </c>
      <c r="J356" s="2757"/>
      <c r="K356" s="2758"/>
      <c r="L356" s="1516" t="s">
        <v>688</v>
      </c>
      <c r="M356" s="1516">
        <v>122150</v>
      </c>
      <c r="N356" s="1515" t="s">
        <v>1552</v>
      </c>
      <c r="O356" s="1515" t="s">
        <v>1553</v>
      </c>
      <c r="P356" s="1515" t="s">
        <v>1554</v>
      </c>
      <c r="Q356" s="1515" t="s">
        <v>1535</v>
      </c>
      <c r="R356" s="1515" t="s">
        <v>673</v>
      </c>
    </row>
    <row r="357" spans="2:18" ht="216.75">
      <c r="B357" s="1513"/>
      <c r="C357" s="1515">
        <v>10</v>
      </c>
      <c r="D357" s="2753" t="s">
        <v>1555</v>
      </c>
      <c r="E357" s="2754"/>
      <c r="F357" s="2754"/>
      <c r="G357" s="2755"/>
      <c r="H357" s="1515" t="s">
        <v>1556</v>
      </c>
      <c r="I357" s="2756">
        <v>250000</v>
      </c>
      <c r="J357" s="2757"/>
      <c r="K357" s="2758"/>
      <c r="L357" s="1516" t="s">
        <v>688</v>
      </c>
      <c r="M357" s="1516">
        <v>248000</v>
      </c>
      <c r="N357" s="1515" t="s">
        <v>1557</v>
      </c>
      <c r="O357" s="1515" t="s">
        <v>1036</v>
      </c>
      <c r="P357" s="1515" t="s">
        <v>1037</v>
      </c>
      <c r="Q357" s="1515" t="s">
        <v>1535</v>
      </c>
      <c r="R357" s="1515" t="s">
        <v>673</v>
      </c>
    </row>
    <row r="358" spans="2:18" ht="216.75">
      <c r="B358" s="1513"/>
      <c r="C358" s="1515">
        <v>11</v>
      </c>
      <c r="D358" s="2753" t="s">
        <v>1558</v>
      </c>
      <c r="E358" s="2754"/>
      <c r="F358" s="2754"/>
      <c r="G358" s="2755"/>
      <c r="H358" s="1515" t="s">
        <v>796</v>
      </c>
      <c r="I358" s="2756">
        <v>125000</v>
      </c>
      <c r="J358" s="2757"/>
      <c r="K358" s="2758"/>
      <c r="L358" s="1516" t="s">
        <v>688</v>
      </c>
      <c r="M358" s="1517">
        <v>8</v>
      </c>
      <c r="N358" s="1515" t="s">
        <v>1552</v>
      </c>
      <c r="O358" s="1515" t="s">
        <v>941</v>
      </c>
      <c r="P358" s="1515" t="s">
        <v>942</v>
      </c>
      <c r="Q358" s="1515" t="s">
        <v>1535</v>
      </c>
      <c r="R358" s="1515" t="s">
        <v>673</v>
      </c>
    </row>
    <row r="359" spans="2:18" ht="216.75">
      <c r="B359" s="1513"/>
      <c r="C359" s="1515">
        <v>12</v>
      </c>
      <c r="D359" s="2753" t="s">
        <v>1559</v>
      </c>
      <c r="E359" s="2754"/>
      <c r="F359" s="2754"/>
      <c r="G359" s="2755"/>
      <c r="H359" s="1515" t="s">
        <v>687</v>
      </c>
      <c r="I359" s="2756">
        <v>150000</v>
      </c>
      <c r="J359" s="2757"/>
      <c r="K359" s="2758"/>
      <c r="L359" s="1516" t="s">
        <v>688</v>
      </c>
      <c r="M359" s="1517">
        <v>8</v>
      </c>
      <c r="N359" s="1515" t="s">
        <v>1560</v>
      </c>
      <c r="O359" s="1515" t="s">
        <v>1367</v>
      </c>
      <c r="P359" s="1515" t="s">
        <v>1368</v>
      </c>
      <c r="Q359" s="1515" t="s">
        <v>1561</v>
      </c>
      <c r="R359" s="1515" t="s">
        <v>704</v>
      </c>
    </row>
    <row r="360" spans="2:18" ht="409.5">
      <c r="B360" s="1513"/>
      <c r="C360" s="1515">
        <v>13</v>
      </c>
      <c r="D360" s="2753" t="s">
        <v>1562</v>
      </c>
      <c r="E360" s="2754"/>
      <c r="F360" s="2754"/>
      <c r="G360" s="2755"/>
      <c r="H360" s="1515" t="s">
        <v>1563</v>
      </c>
      <c r="I360" s="2756">
        <v>101000</v>
      </c>
      <c r="J360" s="2757"/>
      <c r="K360" s="2758"/>
      <c r="L360" s="1516" t="s">
        <v>688</v>
      </c>
      <c r="M360" s="1516">
        <v>100000</v>
      </c>
      <c r="N360" s="1515" t="s">
        <v>1564</v>
      </c>
      <c r="O360" s="1515" t="s">
        <v>1473</v>
      </c>
      <c r="P360" s="1515" t="s">
        <v>1474</v>
      </c>
      <c r="Q360" s="1515" t="s">
        <v>1565</v>
      </c>
      <c r="R360" s="1515" t="s">
        <v>704</v>
      </c>
    </row>
    <row r="361" spans="2:18" ht="216.75">
      <c r="B361" s="1513"/>
      <c r="C361" s="1515">
        <v>14</v>
      </c>
      <c r="D361" s="2753" t="s">
        <v>1566</v>
      </c>
      <c r="E361" s="2754"/>
      <c r="F361" s="2754"/>
      <c r="G361" s="2755"/>
      <c r="H361" s="1515" t="s">
        <v>1567</v>
      </c>
      <c r="I361" s="2756">
        <v>108333</v>
      </c>
      <c r="J361" s="2757"/>
      <c r="K361" s="2758"/>
      <c r="L361" s="1516" t="s">
        <v>688</v>
      </c>
      <c r="M361" s="1516">
        <v>64000</v>
      </c>
      <c r="N361" s="1515" t="s">
        <v>685</v>
      </c>
      <c r="O361" s="1515" t="s">
        <v>1473</v>
      </c>
      <c r="P361" s="1515" t="s">
        <v>1474</v>
      </c>
      <c r="Q361" s="1515" t="s">
        <v>1541</v>
      </c>
      <c r="R361" s="1515" t="s">
        <v>704</v>
      </c>
    </row>
    <row r="362" spans="2:18" ht="51">
      <c r="B362" s="1513"/>
      <c r="C362" s="1515">
        <v>15</v>
      </c>
      <c r="D362" s="2753" t="s">
        <v>1568</v>
      </c>
      <c r="E362" s="2754"/>
      <c r="F362" s="2754"/>
      <c r="G362" s="2755"/>
      <c r="H362" s="1515" t="s">
        <v>1093</v>
      </c>
      <c r="I362" s="2756">
        <v>88000</v>
      </c>
      <c r="J362" s="2757"/>
      <c r="K362" s="2758"/>
      <c r="L362" s="1516" t="s">
        <v>676</v>
      </c>
      <c r="M362" s="1516">
        <v>88000</v>
      </c>
      <c r="N362" s="1515" t="s">
        <v>676</v>
      </c>
      <c r="O362" s="1515" t="s">
        <v>1569</v>
      </c>
      <c r="P362" s="1515" t="s">
        <v>1570</v>
      </c>
      <c r="Q362" s="1515" t="s">
        <v>1571</v>
      </c>
      <c r="R362" s="1515" t="s">
        <v>673</v>
      </c>
    </row>
    <row r="363" spans="2:18" ht="51">
      <c r="B363" s="1513"/>
      <c r="C363" s="1515">
        <v>16</v>
      </c>
      <c r="D363" s="2753" t="s">
        <v>1572</v>
      </c>
      <c r="E363" s="2754"/>
      <c r="F363" s="2754"/>
      <c r="G363" s="2755"/>
      <c r="H363" s="1515" t="s">
        <v>1093</v>
      </c>
      <c r="I363" s="2756">
        <v>25000</v>
      </c>
      <c r="J363" s="2757"/>
      <c r="K363" s="2758"/>
      <c r="L363" s="1516" t="s">
        <v>676</v>
      </c>
      <c r="M363" s="1516">
        <v>24990</v>
      </c>
      <c r="N363" s="1515" t="s">
        <v>676</v>
      </c>
      <c r="O363" s="1515" t="s">
        <v>1510</v>
      </c>
      <c r="P363" s="1515" t="s">
        <v>1511</v>
      </c>
      <c r="Q363" s="1515" t="s">
        <v>1573</v>
      </c>
      <c r="R363" s="1515" t="s">
        <v>673</v>
      </c>
    </row>
    <row r="364" spans="2:18" ht="216.75">
      <c r="B364" s="1513"/>
      <c r="C364" s="1515">
        <v>17</v>
      </c>
      <c r="D364" s="2753" t="s">
        <v>1574</v>
      </c>
      <c r="E364" s="2754"/>
      <c r="F364" s="2754"/>
      <c r="G364" s="2755"/>
      <c r="H364" s="1515" t="s">
        <v>1575</v>
      </c>
      <c r="I364" s="2756">
        <v>139248</v>
      </c>
      <c r="J364" s="2757"/>
      <c r="K364" s="2758"/>
      <c r="L364" s="1516" t="s">
        <v>688</v>
      </c>
      <c r="M364" s="1516">
        <v>84000</v>
      </c>
      <c r="N364" s="1515" t="s">
        <v>1576</v>
      </c>
      <c r="O364" s="1515" t="s">
        <v>1237</v>
      </c>
      <c r="P364" s="1515" t="s">
        <v>1238</v>
      </c>
      <c r="Q364" s="1515" t="s">
        <v>1577</v>
      </c>
      <c r="R364" s="1515" t="s">
        <v>704</v>
      </c>
    </row>
    <row r="365" spans="2:18" ht="229.5">
      <c r="B365" s="1513"/>
      <c r="C365" s="1518">
        <v>18</v>
      </c>
      <c r="D365" s="2759" t="s">
        <v>1578</v>
      </c>
      <c r="E365" s="2760"/>
      <c r="F365" s="2760"/>
      <c r="G365" s="2761"/>
      <c r="H365" s="1518" t="s">
        <v>1579</v>
      </c>
      <c r="I365" s="2762">
        <v>416667</v>
      </c>
      <c r="J365" s="2763"/>
      <c r="K365" s="2764"/>
      <c r="L365" s="1519" t="s">
        <v>688</v>
      </c>
      <c r="M365" s="1519">
        <v>149000</v>
      </c>
      <c r="N365" s="1518" t="s">
        <v>1549</v>
      </c>
      <c r="O365" s="1518" t="s">
        <v>1580</v>
      </c>
      <c r="P365" s="1518" t="s">
        <v>1581</v>
      </c>
      <c r="Q365" s="1518" t="s">
        <v>1541</v>
      </c>
      <c r="R365" s="1518" t="s">
        <v>704</v>
      </c>
    </row>
    <row r="366" spans="2:18" ht="127.5">
      <c r="B366" s="1513"/>
      <c r="C366" s="1515">
        <v>19</v>
      </c>
      <c r="D366" s="2742" t="s">
        <v>1582</v>
      </c>
      <c r="E366" s="2743"/>
      <c r="F366" s="2743"/>
      <c r="G366" s="2744"/>
      <c r="H366" s="1515" t="s">
        <v>1183</v>
      </c>
      <c r="I366" s="2745">
        <v>481760</v>
      </c>
      <c r="J366" s="2746"/>
      <c r="K366" s="1520">
        <f>SUM(I366)</f>
        <v>481760</v>
      </c>
      <c r="L366" s="1516" t="s">
        <v>1583</v>
      </c>
      <c r="M366" s="1516">
        <v>481760</v>
      </c>
      <c r="N366" s="1515" t="s">
        <v>1584</v>
      </c>
      <c r="O366" s="1515" t="s">
        <v>1585</v>
      </c>
      <c r="P366" s="1515" t="s">
        <v>1586</v>
      </c>
      <c r="Q366" s="1515"/>
      <c r="R366" s="1515"/>
    </row>
    <row r="367" spans="2:18" ht="127.5">
      <c r="B367" s="1513"/>
      <c r="C367" s="1515">
        <v>20</v>
      </c>
      <c r="D367" s="2742" t="s">
        <v>1587</v>
      </c>
      <c r="E367" s="2743"/>
      <c r="F367" s="2743"/>
      <c r="G367" s="2744"/>
      <c r="H367" s="1515" t="s">
        <v>1588</v>
      </c>
      <c r="I367" s="2745">
        <v>285919</v>
      </c>
      <c r="J367" s="2746"/>
      <c r="K367" s="1520">
        <f>SUM(I367)</f>
        <v>285919</v>
      </c>
      <c r="L367" s="1516" t="s">
        <v>1583</v>
      </c>
      <c r="M367" s="1516">
        <v>285919</v>
      </c>
      <c r="N367" s="1515" t="s">
        <v>1589</v>
      </c>
      <c r="O367" s="1515" t="s">
        <v>1590</v>
      </c>
      <c r="P367" s="1515" t="s">
        <v>1591</v>
      </c>
      <c r="Q367" s="1515"/>
      <c r="R367" s="1515"/>
    </row>
    <row r="368" spans="2:18">
      <c r="B368" s="1451"/>
      <c r="C368" s="1470"/>
      <c r="D368" s="2747" t="s">
        <v>761</v>
      </c>
      <c r="E368" s="2748"/>
      <c r="F368" s="2748"/>
      <c r="G368" s="2749"/>
      <c r="H368" s="1470"/>
      <c r="I368" s="2750">
        <f>SUM(I348:I367)</f>
        <v>4612695</v>
      </c>
      <c r="J368" s="2751"/>
      <c r="K368" s="2752"/>
      <c r="L368" s="1521"/>
      <c r="M368" s="1521">
        <f>SUM(M348:M367)</f>
        <v>3485234</v>
      </c>
      <c r="N368" s="1522"/>
      <c r="O368" s="1432"/>
      <c r="P368" s="1470"/>
      <c r="Q368" s="1470"/>
      <c r="R368" s="1470"/>
    </row>
    <row r="369" spans="2:18" ht="15">
      <c r="B369" s="1418"/>
      <c r="C369" s="1418"/>
      <c r="D369" s="1418"/>
      <c r="E369" s="1418"/>
      <c r="F369" s="1418"/>
      <c r="G369" s="1418"/>
      <c r="H369" s="1418"/>
      <c r="I369" s="1416"/>
      <c r="J369" s="1416"/>
      <c r="K369" s="1416"/>
      <c r="L369" s="1416"/>
      <c r="M369" s="1416"/>
      <c r="N369" s="1419"/>
      <c r="O369" s="1437" t="s">
        <v>762</v>
      </c>
      <c r="P369" s="1418"/>
      <c r="Q369" s="1418"/>
      <c r="R369" s="1418"/>
    </row>
    <row r="370" spans="2:18" ht="15">
      <c r="B370" s="1418"/>
      <c r="C370" s="1418"/>
      <c r="D370" s="1418"/>
      <c r="E370" s="1418"/>
      <c r="F370" s="1418"/>
      <c r="G370" s="1418"/>
      <c r="H370" s="1418"/>
      <c r="I370" s="1416"/>
      <c r="J370" s="1416"/>
      <c r="K370" s="1416"/>
      <c r="L370" s="1416"/>
      <c r="M370" s="1416"/>
      <c r="N370" s="1419"/>
      <c r="O370" s="1437" t="s">
        <v>763</v>
      </c>
      <c r="P370" s="1418"/>
      <c r="Q370" s="1418"/>
      <c r="R370" s="1418"/>
    </row>
    <row r="371" spans="2:18" ht="23.25">
      <c r="B371" s="2593" t="s">
        <v>652</v>
      </c>
      <c r="C371" s="2593"/>
      <c r="D371" s="2593"/>
      <c r="E371" s="2593"/>
      <c r="F371" s="2593"/>
      <c r="G371" s="2593"/>
      <c r="H371" s="2593"/>
      <c r="I371" s="2593"/>
      <c r="J371" s="1416"/>
      <c r="K371" s="1416"/>
      <c r="L371" s="1416"/>
      <c r="M371" s="1416"/>
      <c r="N371" s="1419"/>
      <c r="O371" s="1419"/>
      <c r="P371" s="1419"/>
      <c r="Q371" s="1419"/>
      <c r="R371" s="1419"/>
    </row>
    <row r="372" spans="2:18" ht="14.25">
      <c r="B372" s="1419"/>
      <c r="C372" s="1419"/>
      <c r="D372" s="1419"/>
      <c r="E372" s="1419"/>
      <c r="F372" s="1419"/>
      <c r="G372" s="1419"/>
      <c r="H372" s="1419"/>
      <c r="I372" s="1416"/>
      <c r="J372" s="1416"/>
      <c r="K372" s="1416"/>
      <c r="L372" s="1416"/>
      <c r="M372" s="1416"/>
      <c r="N372" s="1419"/>
      <c r="O372" s="1419"/>
      <c r="P372" s="1419"/>
      <c r="Q372" s="1419"/>
      <c r="R372" s="1419"/>
    </row>
    <row r="373" spans="2:18" ht="15">
      <c r="B373" s="2595" t="s">
        <v>653</v>
      </c>
      <c r="C373" s="2595"/>
      <c r="D373" s="2595"/>
      <c r="E373" s="1419"/>
      <c r="F373" s="1422" t="s">
        <v>654</v>
      </c>
      <c r="G373" s="1419"/>
      <c r="H373" s="1419"/>
      <c r="I373" s="1416"/>
      <c r="J373" s="1416"/>
      <c r="K373" s="1416"/>
      <c r="L373" s="1416"/>
      <c r="M373" s="1416"/>
      <c r="N373" s="1419"/>
      <c r="O373" s="1419"/>
      <c r="P373" s="1419"/>
      <c r="Q373" s="1419"/>
      <c r="R373" s="1419"/>
    </row>
    <row r="374" spans="2:18" ht="14.25">
      <c r="B374" s="1419"/>
      <c r="C374" s="1419"/>
      <c r="D374" s="1419"/>
      <c r="E374" s="1419"/>
      <c r="F374" s="1419"/>
      <c r="G374" s="1419"/>
      <c r="H374" s="1419"/>
      <c r="I374" s="1416"/>
      <c r="J374" s="1416"/>
      <c r="K374" s="1416"/>
      <c r="L374" s="1416"/>
      <c r="M374" s="1416"/>
      <c r="N374" s="1419"/>
      <c r="O374" s="1419"/>
      <c r="P374" s="1419"/>
      <c r="Q374" s="1419"/>
      <c r="R374" s="1419"/>
    </row>
    <row r="375" spans="2:18" ht="15">
      <c r="B375" s="2595" t="s">
        <v>655</v>
      </c>
      <c r="C375" s="2595"/>
      <c r="D375" s="2595"/>
      <c r="E375" s="1419"/>
      <c r="F375" s="2597" t="s">
        <v>1592</v>
      </c>
      <c r="G375" s="2596"/>
      <c r="H375" s="2596"/>
      <c r="I375" s="2596"/>
      <c r="J375" s="2596"/>
      <c r="K375" s="1416"/>
      <c r="L375" s="1416"/>
      <c r="M375" s="1416"/>
      <c r="N375" s="1419"/>
      <c r="O375" s="1419"/>
      <c r="P375" s="1419"/>
      <c r="Q375" s="1419"/>
      <c r="R375" s="1419"/>
    </row>
    <row r="376" spans="2:18" ht="14.25">
      <c r="B376" s="1418"/>
      <c r="C376" s="1418"/>
      <c r="D376" s="1418"/>
      <c r="E376" s="1418"/>
      <c r="F376" s="1418"/>
      <c r="G376" s="1418"/>
      <c r="H376" s="1418"/>
      <c r="I376" s="1417"/>
      <c r="J376" s="1417"/>
      <c r="K376" s="1417"/>
      <c r="L376" s="1417"/>
      <c r="M376" s="1417"/>
      <c r="N376" s="1418"/>
      <c r="O376" s="1418"/>
      <c r="P376" s="1418"/>
      <c r="Q376" s="1418"/>
      <c r="R376" s="1418"/>
    </row>
    <row r="377" spans="2:18" ht="409.5">
      <c r="B377" s="1523"/>
      <c r="C377" s="1524" t="s">
        <v>657</v>
      </c>
      <c r="D377" s="2739" t="s">
        <v>587</v>
      </c>
      <c r="E377" s="2740"/>
      <c r="F377" s="2740"/>
      <c r="G377" s="2741"/>
      <c r="H377" s="1524" t="s">
        <v>658</v>
      </c>
      <c r="I377" s="2739" t="s">
        <v>659</v>
      </c>
      <c r="J377" s="2740"/>
      <c r="K377" s="2741"/>
      <c r="L377" s="1524" t="s">
        <v>660</v>
      </c>
      <c r="M377" s="1524" t="s">
        <v>661</v>
      </c>
      <c r="N377" s="1524" t="s">
        <v>662</v>
      </c>
      <c r="O377" s="1524" t="s">
        <v>663</v>
      </c>
      <c r="P377" s="1524" t="s">
        <v>664</v>
      </c>
      <c r="Q377" s="1524" t="s">
        <v>765</v>
      </c>
      <c r="R377" s="1524" t="s">
        <v>766</v>
      </c>
    </row>
    <row r="378" spans="2:18" ht="63.75">
      <c r="B378" s="1513"/>
      <c r="C378" s="1525">
        <v>1</v>
      </c>
      <c r="D378" s="2735" t="s">
        <v>1593</v>
      </c>
      <c r="E378" s="2736"/>
      <c r="F378" s="2736"/>
      <c r="G378" s="2736"/>
      <c r="H378" s="1526" t="s">
        <v>706</v>
      </c>
      <c r="I378" s="2737">
        <v>100000</v>
      </c>
      <c r="J378" s="2737"/>
      <c r="K378" s="2737"/>
      <c r="L378" s="1527"/>
      <c r="M378" s="1528">
        <v>99875</v>
      </c>
      <c r="N378" s="1529"/>
      <c r="O378" s="1526" t="s">
        <v>1594</v>
      </c>
      <c r="P378" s="1526" t="s">
        <v>1595</v>
      </c>
      <c r="Q378" s="1530">
        <v>43237.448611111111</v>
      </c>
      <c r="R378" s="1526" t="s">
        <v>704</v>
      </c>
    </row>
    <row r="379" spans="2:18" ht="76.5">
      <c r="B379" s="1513"/>
      <c r="C379" s="1525">
        <v>2</v>
      </c>
      <c r="D379" s="2735" t="s">
        <v>1596</v>
      </c>
      <c r="E379" s="2736"/>
      <c r="F379" s="2736"/>
      <c r="G379" s="2736"/>
      <c r="H379" s="1526" t="s">
        <v>1434</v>
      </c>
      <c r="I379" s="2737">
        <v>3083333</v>
      </c>
      <c r="J379" s="2737"/>
      <c r="K379" s="2737"/>
      <c r="L379" s="1531" t="s">
        <v>892</v>
      </c>
      <c r="M379" s="1528">
        <v>2367500</v>
      </c>
      <c r="N379" s="1530">
        <v>43144.333333333336</v>
      </c>
      <c r="O379" s="1526" t="s">
        <v>1597</v>
      </c>
      <c r="P379" s="1526" t="s">
        <v>1598</v>
      </c>
      <c r="Q379" s="1530">
        <v>43118.615972222222</v>
      </c>
      <c r="R379" s="1526" t="s">
        <v>673</v>
      </c>
    </row>
    <row r="380" spans="2:18" ht="76.5">
      <c r="B380" s="1513"/>
      <c r="C380" s="1525">
        <v>3</v>
      </c>
      <c r="D380" s="2735" t="s">
        <v>1599</v>
      </c>
      <c r="E380" s="2736"/>
      <c r="F380" s="2736"/>
      <c r="G380" s="2736"/>
      <c r="H380" s="1526" t="s">
        <v>1434</v>
      </c>
      <c r="I380" s="2737">
        <v>705496</v>
      </c>
      <c r="J380" s="2737"/>
      <c r="K380" s="2737"/>
      <c r="L380" s="1531" t="s">
        <v>892</v>
      </c>
      <c r="M380" s="1528">
        <v>705200</v>
      </c>
      <c r="N380" s="1530">
        <v>43186.333333333336</v>
      </c>
      <c r="O380" s="1526" t="s">
        <v>1341</v>
      </c>
      <c r="P380" s="1526" t="s">
        <v>1342</v>
      </c>
      <c r="Q380" s="1530">
        <v>43185.587500000001</v>
      </c>
      <c r="R380" s="1526" t="s">
        <v>704</v>
      </c>
    </row>
    <row r="381" spans="2:18" ht="63.75">
      <c r="B381" s="1513"/>
      <c r="C381" s="1525">
        <v>4</v>
      </c>
      <c r="D381" s="2735" t="s">
        <v>1600</v>
      </c>
      <c r="E381" s="2736"/>
      <c r="F381" s="2736"/>
      <c r="G381" s="2736"/>
      <c r="H381" s="1526" t="s">
        <v>1601</v>
      </c>
      <c r="I381" s="2737">
        <v>100000</v>
      </c>
      <c r="J381" s="2737"/>
      <c r="K381" s="2737"/>
      <c r="L381" s="1527"/>
      <c r="M381" s="1528">
        <v>98144</v>
      </c>
      <c r="N381" s="1529"/>
      <c r="O381" s="1526" t="s">
        <v>1602</v>
      </c>
      <c r="P381" s="1526" t="s">
        <v>1603</v>
      </c>
      <c r="Q381" s="1530">
        <v>43244.493750000001</v>
      </c>
      <c r="R381" s="1526" t="s">
        <v>704</v>
      </c>
    </row>
    <row r="382" spans="2:18" ht="153">
      <c r="B382" s="1513"/>
      <c r="C382" s="1525">
        <v>5</v>
      </c>
      <c r="D382" s="2735" t="s">
        <v>1604</v>
      </c>
      <c r="E382" s="2736"/>
      <c r="F382" s="2736"/>
      <c r="G382" s="2736"/>
      <c r="H382" s="1526" t="s">
        <v>1605</v>
      </c>
      <c r="I382" s="2737">
        <v>184313</v>
      </c>
      <c r="J382" s="2737"/>
      <c r="K382" s="2737"/>
      <c r="L382" s="1531" t="s">
        <v>688</v>
      </c>
      <c r="M382" s="1528">
        <v>151340</v>
      </c>
      <c r="N382" s="1530">
        <v>43250.458333333336</v>
      </c>
      <c r="O382" s="1526" t="s">
        <v>1053</v>
      </c>
      <c r="P382" s="1526" t="s">
        <v>1054</v>
      </c>
      <c r="Q382" s="1530">
        <v>43216.633333333331</v>
      </c>
      <c r="R382" s="1526" t="s">
        <v>704</v>
      </c>
    </row>
    <row r="383" spans="2:18" ht="153">
      <c r="B383" s="1513"/>
      <c r="C383" s="1525">
        <v>6</v>
      </c>
      <c r="D383" s="2735" t="s">
        <v>1606</v>
      </c>
      <c r="E383" s="2736"/>
      <c r="F383" s="2736"/>
      <c r="G383" s="2736"/>
      <c r="H383" s="1526" t="s">
        <v>1605</v>
      </c>
      <c r="I383" s="2737">
        <v>583333</v>
      </c>
      <c r="J383" s="2737"/>
      <c r="K383" s="2737"/>
      <c r="L383" s="1531" t="s">
        <v>688</v>
      </c>
      <c r="M383" s="1528">
        <v>399020</v>
      </c>
      <c r="N383" s="1530">
        <v>43151.395833333336</v>
      </c>
      <c r="O383" s="1526" t="s">
        <v>1607</v>
      </c>
      <c r="P383" s="1526" t="s">
        <v>1608</v>
      </c>
      <c r="Q383" s="1530">
        <v>43118.664583333331</v>
      </c>
      <c r="R383" s="1526" t="s">
        <v>673</v>
      </c>
    </row>
    <row r="384" spans="2:18" ht="63.75">
      <c r="B384" s="1513"/>
      <c r="C384" s="2735">
        <v>7</v>
      </c>
      <c r="D384" s="2735" t="s">
        <v>1609</v>
      </c>
      <c r="E384" s="2735"/>
      <c r="F384" s="2735"/>
      <c r="G384" s="2735"/>
      <c r="H384" s="1526" t="s">
        <v>1556</v>
      </c>
      <c r="I384" s="2737">
        <v>208333</v>
      </c>
      <c r="J384" s="2737"/>
      <c r="K384" s="2737"/>
      <c r="L384" s="1531" t="s">
        <v>688</v>
      </c>
      <c r="M384" s="1528">
        <v>26600</v>
      </c>
      <c r="N384" s="1530">
        <v>43144.583333333336</v>
      </c>
      <c r="O384" s="1526" t="s">
        <v>1610</v>
      </c>
      <c r="P384" s="1526" t="s">
        <v>1611</v>
      </c>
      <c r="Q384" s="1530">
        <v>43118.664583333331</v>
      </c>
      <c r="R384" s="1526" t="s">
        <v>673</v>
      </c>
    </row>
    <row r="385" spans="2:18">
      <c r="B385" s="1513"/>
      <c r="C385" s="2735"/>
      <c r="D385" s="2735"/>
      <c r="E385" s="2735"/>
      <c r="F385" s="2735"/>
      <c r="G385" s="2735"/>
      <c r="H385" s="1526"/>
      <c r="I385" s="2737">
        <v>171733</v>
      </c>
      <c r="J385" s="2737"/>
      <c r="K385" s="2737"/>
      <c r="L385" s="2738" t="s">
        <v>688</v>
      </c>
      <c r="M385" s="1528">
        <v>23530</v>
      </c>
      <c r="N385" s="1530">
        <v>43284.083333333336</v>
      </c>
      <c r="O385" s="1526" t="s">
        <v>1036</v>
      </c>
      <c r="P385" s="1526" t="s">
        <v>1037</v>
      </c>
      <c r="Q385" s="1530">
        <v>43194.681944444441</v>
      </c>
      <c r="R385" s="1526" t="s">
        <v>704</v>
      </c>
    </row>
    <row r="386" spans="2:18">
      <c r="B386" s="1513"/>
      <c r="C386" s="2735"/>
      <c r="D386" s="2735"/>
      <c r="E386" s="2735"/>
      <c r="F386" s="2735"/>
      <c r="G386" s="2735"/>
      <c r="H386" s="1526"/>
      <c r="I386" s="2737"/>
      <c r="J386" s="2737"/>
      <c r="K386" s="2737"/>
      <c r="L386" s="2738"/>
      <c r="M386" s="1528">
        <v>77500</v>
      </c>
      <c r="N386" s="1530">
        <v>43200.416666666664</v>
      </c>
      <c r="O386" s="1526" t="s">
        <v>1610</v>
      </c>
      <c r="P386" s="1526" t="s">
        <v>1611</v>
      </c>
      <c r="Q386" s="1530">
        <v>43194.681944444441</v>
      </c>
      <c r="R386" s="1526" t="s">
        <v>704</v>
      </c>
    </row>
    <row r="387" spans="2:18">
      <c r="B387" s="1513"/>
      <c r="C387" s="1525">
        <v>8</v>
      </c>
      <c r="D387" s="2735" t="s">
        <v>1612</v>
      </c>
      <c r="E387" s="2736"/>
      <c r="F387" s="2736"/>
      <c r="G387" s="2736"/>
      <c r="H387" s="1526" t="s">
        <v>796</v>
      </c>
      <c r="I387" s="2737">
        <v>100000</v>
      </c>
      <c r="J387" s="2737"/>
      <c r="K387" s="2737"/>
      <c r="L387" s="1527"/>
      <c r="M387" s="1528">
        <v>99458</v>
      </c>
      <c r="N387" s="1529"/>
      <c r="O387" s="1526" t="s">
        <v>1613</v>
      </c>
      <c r="P387" s="1526" t="s">
        <v>1614</v>
      </c>
      <c r="Q387" s="1530">
        <v>43244.495833333334</v>
      </c>
      <c r="R387" s="1526" t="s">
        <v>704</v>
      </c>
    </row>
    <row r="388" spans="2:18" ht="127.5">
      <c r="B388" s="1513"/>
      <c r="C388" s="2735">
        <v>9</v>
      </c>
      <c r="D388" s="2735" t="s">
        <v>1615</v>
      </c>
      <c r="E388" s="2735"/>
      <c r="F388" s="2735"/>
      <c r="G388" s="2735"/>
      <c r="H388" s="1526" t="s">
        <v>1616</v>
      </c>
      <c r="I388" s="2737">
        <v>170249</v>
      </c>
      <c r="J388" s="2737"/>
      <c r="K388" s="2737"/>
      <c r="L388" s="1531" t="s">
        <v>688</v>
      </c>
      <c r="M388" s="1528">
        <v>122000</v>
      </c>
      <c r="N388" s="1530">
        <v>43245.5</v>
      </c>
      <c r="O388" s="1526" t="s">
        <v>903</v>
      </c>
      <c r="P388" s="1526" t="s">
        <v>904</v>
      </c>
      <c r="Q388" s="1530">
        <v>43216.633333333331</v>
      </c>
      <c r="R388" s="1526" t="s">
        <v>704</v>
      </c>
    </row>
    <row r="389" spans="2:18" ht="127.5">
      <c r="B389" s="1513"/>
      <c r="C389" s="2735"/>
      <c r="D389" s="2735"/>
      <c r="E389" s="2735"/>
      <c r="F389" s="2735"/>
      <c r="G389" s="2735"/>
      <c r="H389" s="1526" t="s">
        <v>1617</v>
      </c>
      <c r="I389" s="2737">
        <v>616249</v>
      </c>
      <c r="J389" s="2737"/>
      <c r="K389" s="2737"/>
      <c r="L389" s="1531" t="s">
        <v>688</v>
      </c>
      <c r="M389" s="1528">
        <v>446000</v>
      </c>
      <c r="N389" s="1530">
        <v>43179.458333333336</v>
      </c>
      <c r="O389" s="1526" t="s">
        <v>1028</v>
      </c>
      <c r="P389" s="1526" t="s">
        <v>1029</v>
      </c>
      <c r="Q389" s="1530">
        <v>43118.664583333331</v>
      </c>
      <c r="R389" s="1526" t="s">
        <v>673</v>
      </c>
    </row>
    <row r="390" spans="2:18" ht="38.25">
      <c r="B390" s="1513"/>
      <c r="C390" s="1525">
        <v>10</v>
      </c>
      <c r="D390" s="2735" t="s">
        <v>1618</v>
      </c>
      <c r="E390" s="2736"/>
      <c r="F390" s="2736"/>
      <c r="G390" s="2736"/>
      <c r="H390" s="1526" t="s">
        <v>749</v>
      </c>
      <c r="I390" s="2737">
        <v>100000</v>
      </c>
      <c r="J390" s="2737"/>
      <c r="K390" s="2737"/>
      <c r="L390" s="1527"/>
      <c r="M390" s="1528">
        <v>98325</v>
      </c>
      <c r="N390" s="1529"/>
      <c r="O390" s="1526" t="s">
        <v>919</v>
      </c>
      <c r="P390" s="1526" t="s">
        <v>920</v>
      </c>
      <c r="Q390" s="1530">
        <v>43237.45</v>
      </c>
      <c r="R390" s="1526" t="s">
        <v>704</v>
      </c>
    </row>
    <row r="391" spans="2:18" ht="63.75">
      <c r="B391" s="1513"/>
      <c r="C391" s="1525">
        <v>11</v>
      </c>
      <c r="D391" s="2735" t="s">
        <v>1619</v>
      </c>
      <c r="E391" s="2736"/>
      <c r="F391" s="2736"/>
      <c r="G391" s="2736"/>
      <c r="H391" s="1526" t="s">
        <v>1434</v>
      </c>
      <c r="I391" s="2737">
        <v>141710</v>
      </c>
      <c r="J391" s="2737"/>
      <c r="K391" s="2737"/>
      <c r="L391" s="1527"/>
      <c r="M391" s="1528">
        <v>141650</v>
      </c>
      <c r="N391" s="1530">
        <v>43118</v>
      </c>
      <c r="O391" s="1526" t="s">
        <v>1341</v>
      </c>
      <c r="P391" s="1526" t="s">
        <v>1342</v>
      </c>
      <c r="Q391" s="1530">
        <v>43245.616666666669</v>
      </c>
      <c r="R391" s="1526" t="s">
        <v>704</v>
      </c>
    </row>
    <row r="392" spans="2:18" ht="63.75">
      <c r="B392" s="1513"/>
      <c r="C392" s="1525">
        <v>12</v>
      </c>
      <c r="D392" s="2735" t="s">
        <v>1620</v>
      </c>
      <c r="E392" s="2736"/>
      <c r="F392" s="2736"/>
      <c r="G392" s="2736"/>
      <c r="H392" s="1526" t="s">
        <v>1434</v>
      </c>
      <c r="I392" s="2737">
        <v>507010</v>
      </c>
      <c r="J392" s="2737"/>
      <c r="K392" s="2737"/>
      <c r="L392" s="1527"/>
      <c r="M392" s="1527">
        <v>507010</v>
      </c>
      <c r="N392" s="1530">
        <v>43117</v>
      </c>
      <c r="O392" s="1526" t="s">
        <v>1597</v>
      </c>
      <c r="P392" s="1526" t="s">
        <v>1598</v>
      </c>
      <c r="Q392" s="1530">
        <v>43346.663888888892</v>
      </c>
      <c r="R392" s="1526" t="s">
        <v>673</v>
      </c>
    </row>
    <row r="393" spans="2:18" ht="38.25">
      <c r="B393" s="1513"/>
      <c r="C393" s="1525">
        <v>13</v>
      </c>
      <c r="D393" s="2735" t="s">
        <v>1621</v>
      </c>
      <c r="E393" s="2736"/>
      <c r="F393" s="2736"/>
      <c r="G393" s="2736"/>
      <c r="H393" s="1526" t="s">
        <v>1622</v>
      </c>
      <c r="I393" s="2737">
        <v>100000</v>
      </c>
      <c r="J393" s="2737"/>
      <c r="K393" s="2737"/>
      <c r="L393" s="1527"/>
      <c r="M393" s="1528">
        <v>98570</v>
      </c>
      <c r="N393" s="1529"/>
      <c r="O393" s="1526" t="s">
        <v>1623</v>
      </c>
      <c r="P393" s="1526" t="s">
        <v>1624</v>
      </c>
      <c r="Q393" s="1530">
        <v>43244.493750000001</v>
      </c>
      <c r="R393" s="1526" t="s">
        <v>704</v>
      </c>
    </row>
    <row r="394" spans="2:18" ht="51">
      <c r="B394" s="1513"/>
      <c r="C394" s="1525">
        <v>14</v>
      </c>
      <c r="D394" s="2735" t="s">
        <v>1625</v>
      </c>
      <c r="E394" s="2736"/>
      <c r="F394" s="2736"/>
      <c r="G394" s="2736"/>
      <c r="H394" s="1526" t="s">
        <v>1626</v>
      </c>
      <c r="I394" s="2737">
        <v>100000</v>
      </c>
      <c r="J394" s="2737"/>
      <c r="K394" s="2737"/>
      <c r="L394" s="1527"/>
      <c r="M394" s="1528">
        <v>99100</v>
      </c>
      <c r="N394" s="1529"/>
      <c r="O394" s="1526" t="s">
        <v>1627</v>
      </c>
      <c r="P394" s="1526" t="s">
        <v>1628</v>
      </c>
      <c r="Q394" s="1530">
        <v>43245.609722222223</v>
      </c>
      <c r="R394" s="1526" t="s">
        <v>704</v>
      </c>
    </row>
    <row r="395" spans="2:18" ht="63.75">
      <c r="B395" s="1513"/>
      <c r="C395" s="1525">
        <v>15</v>
      </c>
      <c r="D395" s="2735" t="s">
        <v>1629</v>
      </c>
      <c r="E395" s="2736"/>
      <c r="F395" s="2736"/>
      <c r="G395" s="2736"/>
      <c r="H395" s="1526" t="s">
        <v>711</v>
      </c>
      <c r="I395" s="2737">
        <v>408333</v>
      </c>
      <c r="J395" s="2737"/>
      <c r="K395" s="2737"/>
      <c r="L395" s="1531" t="s">
        <v>688</v>
      </c>
      <c r="M395" s="1528">
        <v>219000</v>
      </c>
      <c r="N395" s="1530">
        <v>43334.4375</v>
      </c>
      <c r="O395" s="1526" t="s">
        <v>1630</v>
      </c>
      <c r="P395" s="1526" t="s">
        <v>1631</v>
      </c>
      <c r="Q395" s="1530">
        <v>43216.633333333331</v>
      </c>
      <c r="R395" s="1526" t="s">
        <v>704</v>
      </c>
    </row>
    <row r="396" spans="2:18" ht="216.75">
      <c r="B396" s="1513"/>
      <c r="C396" s="1525">
        <v>16</v>
      </c>
      <c r="D396" s="2735" t="s">
        <v>1632</v>
      </c>
      <c r="E396" s="2736"/>
      <c r="F396" s="2736"/>
      <c r="G396" s="2736"/>
      <c r="H396" s="1526" t="s">
        <v>1633</v>
      </c>
      <c r="I396" s="2737">
        <v>100000</v>
      </c>
      <c r="J396" s="2737"/>
      <c r="K396" s="2737"/>
      <c r="L396" s="1527"/>
      <c r="M396" s="1528">
        <v>99800</v>
      </c>
      <c r="N396" s="1529"/>
      <c r="O396" s="1526" t="s">
        <v>1634</v>
      </c>
      <c r="P396" s="1526" t="s">
        <v>1635</v>
      </c>
      <c r="Q396" s="1530">
        <v>43343.62222222222</v>
      </c>
      <c r="R396" s="1526" t="s">
        <v>704</v>
      </c>
    </row>
    <row r="397" spans="2:18" ht="102">
      <c r="B397" s="1513"/>
      <c r="C397" s="1525">
        <v>17</v>
      </c>
      <c r="D397" s="2735" t="s">
        <v>1636</v>
      </c>
      <c r="E397" s="2736"/>
      <c r="F397" s="2736"/>
      <c r="G397" s="2736"/>
      <c r="H397" s="1526" t="s">
        <v>1230</v>
      </c>
      <c r="I397" s="2737">
        <v>41666</v>
      </c>
      <c r="J397" s="2737"/>
      <c r="K397" s="2737"/>
      <c r="L397" s="1527"/>
      <c r="M397" s="1528">
        <v>41100</v>
      </c>
      <c r="N397" s="1529"/>
      <c r="O397" s="1526" t="s">
        <v>1637</v>
      </c>
      <c r="P397" s="1526" t="s">
        <v>1638</v>
      </c>
      <c r="Q397" s="1530">
        <v>43244.495138888888</v>
      </c>
      <c r="R397" s="1526" t="s">
        <v>704</v>
      </c>
    </row>
    <row r="398" spans="2:18">
      <c r="B398" s="1451"/>
      <c r="C398" s="1432"/>
      <c r="D398" s="2710" t="s">
        <v>761</v>
      </c>
      <c r="E398" s="2710"/>
      <c r="F398" s="2710"/>
      <c r="G398" s="2710"/>
      <c r="H398" s="1432"/>
      <c r="I398" s="2711">
        <f>SUM(I378:I397)</f>
        <v>7521758</v>
      </c>
      <c r="J398" s="2711"/>
      <c r="K398" s="2711"/>
      <c r="L398" s="1521"/>
      <c r="M398" s="1521">
        <f>SUM(M378:M397)</f>
        <v>5920722</v>
      </c>
      <c r="N398" s="1522"/>
      <c r="O398" s="1432"/>
      <c r="P398" s="1432"/>
      <c r="Q398" s="1432"/>
      <c r="R398" s="1432"/>
    </row>
    <row r="399" spans="2:18" ht="15">
      <c r="B399" s="1451"/>
      <c r="C399" s="1451"/>
      <c r="D399" s="1451"/>
      <c r="E399" s="1451"/>
      <c r="F399" s="1451"/>
      <c r="G399" s="1451"/>
      <c r="H399" s="1451"/>
      <c r="I399" s="1512"/>
      <c r="J399" s="1512"/>
      <c r="K399" s="1512"/>
      <c r="L399" s="1512"/>
      <c r="M399" s="1512"/>
      <c r="N399" s="1451"/>
      <c r="O399" s="1437" t="s">
        <v>762</v>
      </c>
      <c r="P399" s="1451"/>
      <c r="Q399" s="1451"/>
      <c r="R399" s="1451"/>
    </row>
    <row r="400" spans="2:18" ht="15">
      <c r="B400" s="1451"/>
      <c r="C400" s="1451"/>
      <c r="D400" s="1451"/>
      <c r="E400" s="1451"/>
      <c r="F400" s="1451"/>
      <c r="G400" s="1451"/>
      <c r="H400" s="1451"/>
      <c r="I400" s="1512"/>
      <c r="J400" s="1512"/>
      <c r="K400" s="1512"/>
      <c r="L400" s="1512"/>
      <c r="M400" s="1512"/>
      <c r="N400" s="1451"/>
      <c r="O400" s="1437" t="s">
        <v>763</v>
      </c>
      <c r="P400" s="1451"/>
      <c r="Q400" s="1451"/>
      <c r="R400" s="1451"/>
    </row>
    <row r="401" spans="2:18" ht="23.25">
      <c r="B401" s="2593" t="s">
        <v>652</v>
      </c>
      <c r="C401" s="2593"/>
      <c r="D401" s="2593"/>
      <c r="E401" s="2593"/>
      <c r="F401" s="2593"/>
      <c r="G401" s="2593"/>
      <c r="H401" s="2593"/>
      <c r="I401" s="2593"/>
      <c r="J401" s="1416"/>
      <c r="K401" s="1416"/>
      <c r="L401" s="1416"/>
      <c r="M401" s="1416"/>
      <c r="N401" s="1419"/>
      <c r="O401" s="1419"/>
      <c r="P401" s="1419"/>
      <c r="Q401" s="1419"/>
      <c r="R401" s="1419"/>
    </row>
    <row r="402" spans="2:18" ht="14.25">
      <c r="B402" s="1419"/>
      <c r="C402" s="1419"/>
      <c r="D402" s="1419"/>
      <c r="E402" s="1419"/>
      <c r="F402" s="1419"/>
      <c r="G402" s="1419"/>
      <c r="H402" s="1419"/>
      <c r="I402" s="1416"/>
      <c r="J402" s="1416"/>
      <c r="K402" s="1416"/>
      <c r="L402" s="1416"/>
      <c r="M402" s="1416"/>
      <c r="N402" s="1419"/>
      <c r="O402" s="1419"/>
      <c r="P402" s="1419"/>
      <c r="Q402" s="1419"/>
      <c r="R402" s="1419"/>
    </row>
    <row r="403" spans="2:18" ht="15">
      <c r="B403" s="2595" t="s">
        <v>653</v>
      </c>
      <c r="C403" s="2595"/>
      <c r="D403" s="2595"/>
      <c r="E403" s="1419"/>
      <c r="F403" s="1422" t="s">
        <v>654</v>
      </c>
      <c r="G403" s="1419"/>
      <c r="H403" s="1419"/>
      <c r="I403" s="1416"/>
      <c r="J403" s="1416"/>
      <c r="K403" s="1416"/>
      <c r="L403" s="1416"/>
      <c r="M403" s="1416"/>
      <c r="N403" s="1419"/>
      <c r="O403" s="1419"/>
      <c r="P403" s="1419"/>
      <c r="Q403" s="1419"/>
      <c r="R403" s="1419"/>
    </row>
    <row r="404" spans="2:18" ht="14.25">
      <c r="B404" s="1419"/>
      <c r="C404" s="1419"/>
      <c r="D404" s="1419"/>
      <c r="E404" s="1419"/>
      <c r="F404" s="1419"/>
      <c r="G404" s="1419"/>
      <c r="H404" s="1419"/>
      <c r="I404" s="1416"/>
      <c r="J404" s="1416"/>
      <c r="K404" s="1416"/>
      <c r="L404" s="1416"/>
      <c r="M404" s="1416"/>
      <c r="N404" s="1419"/>
      <c r="O404" s="1419"/>
      <c r="P404" s="1419"/>
      <c r="Q404" s="1419"/>
      <c r="R404" s="1419"/>
    </row>
    <row r="405" spans="2:18" ht="15">
      <c r="B405" s="2595" t="s">
        <v>655</v>
      </c>
      <c r="C405" s="2595"/>
      <c r="D405" s="2595"/>
      <c r="E405" s="1440"/>
      <c r="F405" s="2597" t="s">
        <v>1639</v>
      </c>
      <c r="G405" s="2597"/>
      <c r="H405" s="2597"/>
      <c r="I405" s="2597"/>
      <c r="J405" s="2597"/>
      <c r="K405" s="1440"/>
      <c r="L405" s="1440"/>
      <c r="M405" s="1440"/>
      <c r="N405" s="1440"/>
      <c r="O405" s="1440"/>
      <c r="P405" s="1440"/>
      <c r="Q405" s="1440"/>
      <c r="R405" s="1440"/>
    </row>
    <row r="406" spans="2:18" ht="15">
      <c r="B406" s="1444"/>
      <c r="C406" s="1444"/>
      <c r="D406" s="1444"/>
      <c r="E406" s="1444"/>
      <c r="F406" s="1444"/>
      <c r="G406" s="1444"/>
      <c r="H406" s="1444"/>
      <c r="I406" s="1444"/>
      <c r="J406" s="1444"/>
      <c r="K406" s="1444"/>
      <c r="L406" s="1444"/>
      <c r="M406" s="1444"/>
      <c r="N406" s="1444"/>
      <c r="O406" s="1444"/>
      <c r="P406" s="1444"/>
      <c r="Q406" s="1444"/>
      <c r="R406" s="1444"/>
    </row>
    <row r="407" spans="2:18" ht="409.5">
      <c r="B407" s="1453"/>
      <c r="C407" s="1426" t="s">
        <v>657</v>
      </c>
      <c r="D407" s="2588" t="s">
        <v>587</v>
      </c>
      <c r="E407" s="2574"/>
      <c r="F407" s="2574"/>
      <c r="G407" s="2575"/>
      <c r="H407" s="1426" t="s">
        <v>658</v>
      </c>
      <c r="I407" s="2588" t="s">
        <v>659</v>
      </c>
      <c r="J407" s="2574"/>
      <c r="K407" s="2575"/>
      <c r="L407" s="1426" t="s">
        <v>660</v>
      </c>
      <c r="M407" s="1426" t="s">
        <v>661</v>
      </c>
      <c r="N407" s="1426" t="s">
        <v>662</v>
      </c>
      <c r="O407" s="1426" t="s">
        <v>663</v>
      </c>
      <c r="P407" s="1426" t="s">
        <v>664</v>
      </c>
      <c r="Q407" s="1426" t="s">
        <v>665</v>
      </c>
      <c r="R407" s="1426" t="s">
        <v>666</v>
      </c>
    </row>
    <row r="408" spans="2:18" ht="216.75">
      <c r="B408" s="1453"/>
      <c r="C408" s="1427">
        <v>1</v>
      </c>
      <c r="D408" s="2573" t="s">
        <v>1640</v>
      </c>
      <c r="E408" s="2574"/>
      <c r="F408" s="2574"/>
      <c r="G408" s="2575"/>
      <c r="H408" s="1427" t="s">
        <v>687</v>
      </c>
      <c r="I408" s="2576">
        <v>583000</v>
      </c>
      <c r="J408" s="2577"/>
      <c r="K408" s="2578"/>
      <c r="L408" s="1428" t="s">
        <v>688</v>
      </c>
      <c r="M408" s="1428">
        <v>574083</v>
      </c>
      <c r="N408" s="1427" t="s">
        <v>1641</v>
      </c>
      <c r="O408" s="1427" t="s">
        <v>690</v>
      </c>
      <c r="P408" s="1427" t="s">
        <v>691</v>
      </c>
      <c r="Q408" s="1427" t="s">
        <v>1440</v>
      </c>
      <c r="R408" s="1427" t="s">
        <v>704</v>
      </c>
    </row>
    <row r="409" spans="2:18" ht="216.75">
      <c r="B409" s="1453"/>
      <c r="C409" s="1427">
        <v>2</v>
      </c>
      <c r="D409" s="2573" t="s">
        <v>1642</v>
      </c>
      <c r="E409" s="2574"/>
      <c r="F409" s="2574"/>
      <c r="G409" s="2575"/>
      <c r="H409" s="1427" t="s">
        <v>1643</v>
      </c>
      <c r="I409" s="2576">
        <v>666000</v>
      </c>
      <c r="J409" s="2577"/>
      <c r="K409" s="2578"/>
      <c r="L409" s="1428" t="s">
        <v>688</v>
      </c>
      <c r="M409" s="1428">
        <v>635000</v>
      </c>
      <c r="N409" s="1427" t="s">
        <v>1644</v>
      </c>
      <c r="O409" s="1427" t="s">
        <v>1645</v>
      </c>
      <c r="P409" s="1427" t="s">
        <v>1646</v>
      </c>
      <c r="Q409" s="1427" t="s">
        <v>1577</v>
      </c>
      <c r="R409" s="1427" t="s">
        <v>704</v>
      </c>
    </row>
    <row r="410" spans="2:18" ht="216.75">
      <c r="B410" s="1453"/>
      <c r="C410" s="1427">
        <v>3</v>
      </c>
      <c r="D410" s="2573" t="s">
        <v>1486</v>
      </c>
      <c r="E410" s="2574"/>
      <c r="F410" s="2574"/>
      <c r="G410" s="2575"/>
      <c r="H410" s="1427" t="s">
        <v>855</v>
      </c>
      <c r="I410" s="2576">
        <v>416000</v>
      </c>
      <c r="J410" s="2577"/>
      <c r="K410" s="2578"/>
      <c r="L410" s="1428" t="s">
        <v>688</v>
      </c>
      <c r="M410" s="1428">
        <v>377800</v>
      </c>
      <c r="N410" s="1427" t="s">
        <v>1647</v>
      </c>
      <c r="O410" s="1427" t="s">
        <v>1648</v>
      </c>
      <c r="P410" s="1427" t="s">
        <v>1649</v>
      </c>
      <c r="Q410" s="1427" t="s">
        <v>1440</v>
      </c>
      <c r="R410" s="1427" t="s">
        <v>704</v>
      </c>
    </row>
    <row r="411" spans="2:18" ht="216.75">
      <c r="B411" s="1453"/>
      <c r="C411" s="1427">
        <v>4</v>
      </c>
      <c r="D411" s="2573" t="s">
        <v>1650</v>
      </c>
      <c r="E411" s="2574"/>
      <c r="F411" s="2574"/>
      <c r="G411" s="2575"/>
      <c r="H411" s="1427" t="s">
        <v>1039</v>
      </c>
      <c r="I411" s="2576">
        <v>1810000</v>
      </c>
      <c r="J411" s="2577"/>
      <c r="K411" s="2578"/>
      <c r="L411" s="1428" t="s">
        <v>892</v>
      </c>
      <c r="M411" s="1428">
        <v>1756346</v>
      </c>
      <c r="N411" s="1427" t="s">
        <v>1651</v>
      </c>
      <c r="O411" s="1427" t="s">
        <v>1652</v>
      </c>
      <c r="P411" s="1427" t="s">
        <v>1653</v>
      </c>
      <c r="Q411" s="1427" t="s">
        <v>1654</v>
      </c>
      <c r="R411" s="1427" t="s">
        <v>704</v>
      </c>
    </row>
    <row r="412" spans="2:18" ht="216.75">
      <c r="B412" s="1453"/>
      <c r="C412" s="1427">
        <v>5</v>
      </c>
      <c r="D412" s="2573" t="s">
        <v>890</v>
      </c>
      <c r="E412" s="2574"/>
      <c r="F412" s="2574"/>
      <c r="G412" s="2575"/>
      <c r="H412" s="1427" t="s">
        <v>907</v>
      </c>
      <c r="I412" s="2576">
        <v>6250000</v>
      </c>
      <c r="J412" s="2577"/>
      <c r="K412" s="2578"/>
      <c r="L412" s="1428" t="s">
        <v>892</v>
      </c>
      <c r="M412" s="1428">
        <v>6216970</v>
      </c>
      <c r="N412" s="1427" t="s">
        <v>1655</v>
      </c>
      <c r="O412" s="1427" t="s">
        <v>1347</v>
      </c>
      <c r="P412" s="1427" t="s">
        <v>1348</v>
      </c>
      <c r="Q412" s="1427" t="s">
        <v>1654</v>
      </c>
      <c r="R412" s="1427" t="s">
        <v>704</v>
      </c>
    </row>
    <row r="413" spans="2:18" ht="14.25">
      <c r="B413" s="1419"/>
      <c r="C413" s="1435"/>
      <c r="D413" s="2589" t="s">
        <v>761</v>
      </c>
      <c r="E413" s="2589"/>
      <c r="F413" s="2589"/>
      <c r="G413" s="2589"/>
      <c r="H413" s="1435"/>
      <c r="I413" s="2590">
        <f>SUM(I408:I412)</f>
        <v>9725000</v>
      </c>
      <c r="J413" s="2591"/>
      <c r="K413" s="2592"/>
      <c r="L413" s="1433"/>
      <c r="M413" s="1433">
        <f>SUM(M408:M412)</f>
        <v>9560199</v>
      </c>
      <c r="N413" s="1434"/>
      <c r="O413" s="1435"/>
      <c r="P413" s="1435"/>
      <c r="Q413" s="1435"/>
      <c r="R413" s="1435"/>
    </row>
    <row r="414" spans="2:18" ht="15">
      <c r="B414" s="1419"/>
      <c r="C414" s="1419"/>
      <c r="D414" s="1419"/>
      <c r="E414" s="1419"/>
      <c r="F414" s="1419"/>
      <c r="G414" s="1419"/>
      <c r="H414" s="1419"/>
      <c r="I414" s="1416"/>
      <c r="J414" s="1416"/>
      <c r="K414" s="1416"/>
      <c r="L414" s="1416"/>
      <c r="M414" s="1416"/>
      <c r="N414" s="1419"/>
      <c r="O414" s="1437" t="s">
        <v>762</v>
      </c>
      <c r="P414" s="1419"/>
      <c r="Q414" s="1419"/>
      <c r="R414" s="1419"/>
    </row>
    <row r="415" spans="2:18" ht="15">
      <c r="B415" s="1419"/>
      <c r="C415" s="1419"/>
      <c r="D415" s="1419"/>
      <c r="E415" s="1419"/>
      <c r="F415" s="1419"/>
      <c r="G415" s="1419"/>
      <c r="H415" s="1419"/>
      <c r="I415" s="1416"/>
      <c r="J415" s="1416"/>
      <c r="K415" s="1416"/>
      <c r="L415" s="1416"/>
      <c r="M415" s="1416"/>
      <c r="N415" s="1419"/>
      <c r="O415" s="1437" t="s">
        <v>763</v>
      </c>
      <c r="P415" s="1419"/>
      <c r="Q415" s="1419"/>
      <c r="R415" s="1419"/>
    </row>
    <row r="416" spans="2:18" ht="23.25">
      <c r="B416" s="2593" t="s">
        <v>652</v>
      </c>
      <c r="C416" s="2593"/>
      <c r="D416" s="2593"/>
      <c r="E416" s="2593"/>
      <c r="F416" s="2593"/>
      <c r="G416" s="2593"/>
      <c r="H416" s="2593"/>
      <c r="I416" s="2593"/>
      <c r="J416" s="1416"/>
      <c r="K416" s="1417"/>
      <c r="L416" s="1417"/>
      <c r="M416" s="1417"/>
      <c r="N416" s="1418"/>
      <c r="O416" s="1418"/>
      <c r="P416" s="1418"/>
      <c r="Q416" s="1418"/>
      <c r="R416" s="1418"/>
    </row>
    <row r="417" spans="2:18" ht="14.25">
      <c r="B417" s="1419"/>
      <c r="C417" s="1419"/>
      <c r="D417" s="1419"/>
      <c r="E417" s="1419"/>
      <c r="F417" s="1419"/>
      <c r="G417" s="1419"/>
      <c r="H417" s="1419"/>
      <c r="I417" s="1416"/>
      <c r="J417" s="1416"/>
      <c r="K417" s="1417"/>
      <c r="L417" s="1417"/>
      <c r="M417" s="1417"/>
      <c r="N417" s="1418"/>
      <c r="O417" s="1418"/>
      <c r="P417" s="1418"/>
      <c r="Q417" s="1418"/>
      <c r="R417" s="1418"/>
    </row>
    <row r="418" spans="2:18" ht="15">
      <c r="B418" s="2595" t="s">
        <v>653</v>
      </c>
      <c r="C418" s="2595"/>
      <c r="D418" s="2595"/>
      <c r="E418" s="1419"/>
      <c r="F418" s="1422" t="s">
        <v>654</v>
      </c>
      <c r="G418" s="1419"/>
      <c r="H418" s="1419"/>
      <c r="I418" s="1416"/>
      <c r="J418" s="1416"/>
      <c r="K418" s="1417"/>
      <c r="L418" s="1417"/>
      <c r="M418" s="1417"/>
      <c r="N418" s="1418"/>
      <c r="O418" s="1418"/>
      <c r="P418" s="1418"/>
      <c r="Q418" s="1418"/>
      <c r="R418" s="1418"/>
    </row>
    <row r="419" spans="2:18" ht="15">
      <c r="B419" s="1464"/>
      <c r="C419" s="1464"/>
      <c r="D419" s="1464"/>
      <c r="E419" s="1419"/>
      <c r="F419" s="1419"/>
      <c r="G419" s="1419"/>
      <c r="H419" s="1419"/>
      <c r="I419" s="1416"/>
      <c r="J419" s="1416"/>
      <c r="K419" s="1417"/>
      <c r="L419" s="1417"/>
      <c r="M419" s="1417"/>
      <c r="N419" s="1418"/>
      <c r="O419" s="1418"/>
      <c r="P419" s="1418"/>
      <c r="Q419" s="1418"/>
      <c r="R419" s="1418"/>
    </row>
    <row r="420" spans="2:18" ht="15">
      <c r="B420" s="2595" t="s">
        <v>655</v>
      </c>
      <c r="C420" s="2595"/>
      <c r="D420" s="2595"/>
      <c r="E420" s="1419"/>
      <c r="F420" s="2597" t="s">
        <v>1656</v>
      </c>
      <c r="G420" s="2597"/>
      <c r="H420" s="2597"/>
      <c r="I420" s="2597"/>
      <c r="J420" s="2597"/>
      <c r="K420" s="1417"/>
      <c r="L420" s="1417"/>
      <c r="M420" s="1417"/>
      <c r="N420" s="1418"/>
      <c r="O420" s="1418"/>
      <c r="P420" s="1418"/>
      <c r="Q420" s="1418"/>
      <c r="R420" s="1418"/>
    </row>
    <row r="421" spans="2:18" ht="14.25">
      <c r="B421" s="1418"/>
      <c r="C421" s="1418"/>
      <c r="D421" s="1418"/>
      <c r="E421" s="1418"/>
      <c r="F421" s="1418"/>
      <c r="G421" s="1418"/>
      <c r="H421" s="1418"/>
      <c r="I421" s="1417"/>
      <c r="J421" s="1417"/>
      <c r="K421" s="1417"/>
      <c r="L421" s="1417"/>
      <c r="M421" s="1417"/>
      <c r="N421" s="1418"/>
      <c r="O421" s="1418"/>
      <c r="P421" s="1418"/>
      <c r="Q421" s="1418"/>
      <c r="R421" s="1418"/>
    </row>
    <row r="422" spans="2:18" ht="409.5">
      <c r="B422" s="1453"/>
      <c r="C422" s="1426" t="s">
        <v>657</v>
      </c>
      <c r="D422" s="2588" t="s">
        <v>587</v>
      </c>
      <c r="E422" s="2715"/>
      <c r="F422" s="2715"/>
      <c r="G422" s="2716"/>
      <c r="H422" s="1426" t="s">
        <v>658</v>
      </c>
      <c r="I422" s="2588" t="s">
        <v>659</v>
      </c>
      <c r="J422" s="2715"/>
      <c r="K422" s="2716"/>
      <c r="L422" s="1426" t="s">
        <v>660</v>
      </c>
      <c r="M422" s="1426" t="s">
        <v>661</v>
      </c>
      <c r="N422" s="1426" t="s">
        <v>662</v>
      </c>
      <c r="O422" s="1426" t="s">
        <v>663</v>
      </c>
      <c r="P422" s="1426" t="s">
        <v>664</v>
      </c>
      <c r="Q422" s="1426" t="s">
        <v>665</v>
      </c>
      <c r="R422" s="1426" t="s">
        <v>666</v>
      </c>
    </row>
    <row r="423" spans="2:18" ht="178.5">
      <c r="B423" s="1453"/>
      <c r="C423" s="2573">
        <v>2</v>
      </c>
      <c r="D423" s="2573" t="s">
        <v>172</v>
      </c>
      <c r="E423" s="2720"/>
      <c r="F423" s="2720"/>
      <c r="G423" s="2721"/>
      <c r="H423" s="1427" t="s">
        <v>1657</v>
      </c>
      <c r="I423" s="2576">
        <v>5823</v>
      </c>
      <c r="J423" s="2717"/>
      <c r="K423" s="2718"/>
      <c r="L423" s="1428" t="s">
        <v>676</v>
      </c>
      <c r="M423" s="1428">
        <v>5000</v>
      </c>
      <c r="N423" s="1427" t="s">
        <v>676</v>
      </c>
      <c r="O423" s="1427" t="s">
        <v>1658</v>
      </c>
      <c r="P423" s="1427" t="s">
        <v>1659</v>
      </c>
      <c r="Q423" s="1427" t="s">
        <v>1660</v>
      </c>
      <c r="R423" s="1427" t="s">
        <v>673</v>
      </c>
    </row>
    <row r="424" spans="2:18" ht="15">
      <c r="B424" s="1453"/>
      <c r="C424" s="2731"/>
      <c r="D424" s="2732"/>
      <c r="E424" s="2733"/>
      <c r="F424" s="2733"/>
      <c r="G424" s="2734"/>
      <c r="H424" s="2573" t="s">
        <v>1661</v>
      </c>
      <c r="I424" s="2576">
        <v>83333</v>
      </c>
      <c r="J424" s="2725"/>
      <c r="K424" s="2726"/>
      <c r="L424" s="2576" t="s">
        <v>676</v>
      </c>
      <c r="M424" s="1428">
        <v>77510</v>
      </c>
      <c r="N424" s="1427" t="s">
        <v>676</v>
      </c>
      <c r="O424" s="1427" t="s">
        <v>1662</v>
      </c>
      <c r="P424" s="1427" t="s">
        <v>1663</v>
      </c>
      <c r="Q424" s="1427" t="s">
        <v>1664</v>
      </c>
      <c r="R424" s="1427" t="s">
        <v>673</v>
      </c>
    </row>
    <row r="425" spans="2:18" ht="15">
      <c r="B425" s="1453"/>
      <c r="C425" s="2719"/>
      <c r="D425" s="2722"/>
      <c r="E425" s="2723"/>
      <c r="F425" s="2723"/>
      <c r="G425" s="2724"/>
      <c r="H425" s="2719"/>
      <c r="I425" s="2727"/>
      <c r="J425" s="2728"/>
      <c r="K425" s="2729"/>
      <c r="L425" s="2730"/>
      <c r="M425" s="1428">
        <v>5000</v>
      </c>
      <c r="N425" s="1427" t="s">
        <v>676</v>
      </c>
      <c r="O425" s="1427" t="s">
        <v>1658</v>
      </c>
      <c r="P425" s="1427" t="s">
        <v>1659</v>
      </c>
      <c r="Q425" s="1427" t="s">
        <v>1664</v>
      </c>
      <c r="R425" s="1427" t="s">
        <v>673</v>
      </c>
    </row>
    <row r="426" spans="2:18" ht="51">
      <c r="B426" s="1453"/>
      <c r="C426" s="1427">
        <v>3</v>
      </c>
      <c r="D426" s="2573" t="s">
        <v>1665</v>
      </c>
      <c r="E426" s="2715"/>
      <c r="F426" s="2715"/>
      <c r="G426" s="2716"/>
      <c r="H426" s="1427" t="s">
        <v>687</v>
      </c>
      <c r="I426" s="2576">
        <v>83333</v>
      </c>
      <c r="J426" s="2717"/>
      <c r="K426" s="2718"/>
      <c r="L426" s="1428" t="s">
        <v>676</v>
      </c>
      <c r="M426" s="1428">
        <v>83105</v>
      </c>
      <c r="N426" s="1427" t="s">
        <v>676</v>
      </c>
      <c r="O426" s="1427" t="s">
        <v>1666</v>
      </c>
      <c r="P426" s="1427" t="s">
        <v>1667</v>
      </c>
      <c r="Q426" s="1427" t="s">
        <v>1668</v>
      </c>
      <c r="R426" s="1427" t="s">
        <v>704</v>
      </c>
    </row>
    <row r="427" spans="2:18" ht="15">
      <c r="B427" s="1453"/>
      <c r="C427" s="2573">
        <v>4</v>
      </c>
      <c r="D427" s="2573" t="s">
        <v>1669</v>
      </c>
      <c r="E427" s="2720"/>
      <c r="F427" s="2720"/>
      <c r="G427" s="2721"/>
      <c r="H427" s="2573" t="s">
        <v>1670</v>
      </c>
      <c r="I427" s="2576">
        <v>83333</v>
      </c>
      <c r="J427" s="2725"/>
      <c r="K427" s="2726"/>
      <c r="L427" s="2576" t="s">
        <v>676</v>
      </c>
      <c r="M427" s="1428">
        <v>52174</v>
      </c>
      <c r="N427" s="1427" t="s">
        <v>676</v>
      </c>
      <c r="O427" s="1427" t="s">
        <v>1671</v>
      </c>
      <c r="P427" s="1427" t="s">
        <v>1672</v>
      </c>
      <c r="Q427" s="1427" t="s">
        <v>1673</v>
      </c>
      <c r="R427" s="1427" t="s">
        <v>673</v>
      </c>
    </row>
    <row r="428" spans="2:18" ht="15">
      <c r="B428" s="1453"/>
      <c r="C428" s="2719"/>
      <c r="D428" s="2722"/>
      <c r="E428" s="2723"/>
      <c r="F428" s="2723"/>
      <c r="G428" s="2724"/>
      <c r="H428" s="2719"/>
      <c r="I428" s="2727"/>
      <c r="J428" s="2728"/>
      <c r="K428" s="2729"/>
      <c r="L428" s="2730"/>
      <c r="M428" s="1428">
        <v>10625</v>
      </c>
      <c r="N428" s="1427" t="s">
        <v>676</v>
      </c>
      <c r="O428" s="1427" t="s">
        <v>1674</v>
      </c>
      <c r="P428" s="1427" t="s">
        <v>1675</v>
      </c>
      <c r="Q428" s="1427" t="s">
        <v>1673</v>
      </c>
      <c r="R428" s="1427" t="s">
        <v>673</v>
      </c>
    </row>
    <row r="429" spans="2:18" ht="216.75">
      <c r="B429" s="1453"/>
      <c r="C429" s="1427">
        <v>5</v>
      </c>
      <c r="D429" s="2573" t="s">
        <v>1676</v>
      </c>
      <c r="E429" s="2715"/>
      <c r="F429" s="2715"/>
      <c r="G429" s="2716"/>
      <c r="H429" s="1427" t="s">
        <v>699</v>
      </c>
      <c r="I429" s="2576">
        <v>433333</v>
      </c>
      <c r="J429" s="2717"/>
      <c r="K429" s="2718"/>
      <c r="L429" s="1428" t="s">
        <v>688</v>
      </c>
      <c r="M429" s="1428">
        <v>358940</v>
      </c>
      <c r="N429" s="1427" t="s">
        <v>1677</v>
      </c>
      <c r="O429" s="1427" t="s">
        <v>1053</v>
      </c>
      <c r="P429" s="1427" t="s">
        <v>1054</v>
      </c>
      <c r="Q429" s="1427" t="s">
        <v>943</v>
      </c>
      <c r="R429" s="1427" t="s">
        <v>704</v>
      </c>
    </row>
    <row r="430" spans="2:18" ht="15">
      <c r="B430" s="1453"/>
      <c r="C430" s="2573">
        <v>7</v>
      </c>
      <c r="D430" s="2573" t="s">
        <v>1555</v>
      </c>
      <c r="E430" s="2720"/>
      <c r="F430" s="2720"/>
      <c r="G430" s="2721"/>
      <c r="H430" s="2573" t="s">
        <v>675</v>
      </c>
      <c r="I430" s="2576">
        <v>10000</v>
      </c>
      <c r="J430" s="2717"/>
      <c r="K430" s="2718"/>
      <c r="L430" s="1428" t="s">
        <v>676</v>
      </c>
      <c r="M430" s="1428">
        <v>5800</v>
      </c>
      <c r="N430" s="1427" t="s">
        <v>676</v>
      </c>
      <c r="O430" s="1427" t="s">
        <v>1678</v>
      </c>
      <c r="P430" s="1427" t="s">
        <v>1679</v>
      </c>
      <c r="Q430" s="1427" t="s">
        <v>1680</v>
      </c>
      <c r="R430" s="1427" t="s">
        <v>673</v>
      </c>
    </row>
    <row r="431" spans="2:18" ht="15">
      <c r="B431" s="1453"/>
      <c r="C431" s="2719"/>
      <c r="D431" s="2722"/>
      <c r="E431" s="2723"/>
      <c r="F431" s="2723"/>
      <c r="G431" s="2724"/>
      <c r="H431" s="2719"/>
      <c r="I431" s="2576">
        <v>50000</v>
      </c>
      <c r="J431" s="2717"/>
      <c r="K431" s="2718"/>
      <c r="L431" s="1428" t="s">
        <v>676</v>
      </c>
      <c r="M431" s="1428">
        <v>50000</v>
      </c>
      <c r="N431" s="1427" t="s">
        <v>676</v>
      </c>
      <c r="O431" s="1427" t="s">
        <v>1678</v>
      </c>
      <c r="P431" s="1427" t="s">
        <v>1679</v>
      </c>
      <c r="Q431" s="1427" t="s">
        <v>1681</v>
      </c>
      <c r="R431" s="1427" t="s">
        <v>673</v>
      </c>
    </row>
    <row r="432" spans="2:18" ht="216.75">
      <c r="B432" s="1453"/>
      <c r="C432" s="1427">
        <v>8</v>
      </c>
      <c r="D432" s="2573" t="s">
        <v>1682</v>
      </c>
      <c r="E432" s="2715"/>
      <c r="F432" s="2715"/>
      <c r="G432" s="2716"/>
      <c r="H432" s="1427" t="s">
        <v>1260</v>
      </c>
      <c r="I432" s="2576">
        <v>291667</v>
      </c>
      <c r="J432" s="2717"/>
      <c r="K432" s="2718"/>
      <c r="L432" s="1428" t="s">
        <v>688</v>
      </c>
      <c r="M432" s="1428">
        <v>195000</v>
      </c>
      <c r="N432" s="1427" t="s">
        <v>1683</v>
      </c>
      <c r="O432" s="1427" t="s">
        <v>1684</v>
      </c>
      <c r="P432" s="1427" t="s">
        <v>1685</v>
      </c>
      <c r="Q432" s="1427" t="s">
        <v>1686</v>
      </c>
      <c r="R432" s="1427" t="s">
        <v>673</v>
      </c>
    </row>
    <row r="433" spans="2:18" ht="140.25">
      <c r="B433" s="1453"/>
      <c r="C433" s="1427">
        <v>9</v>
      </c>
      <c r="D433" s="2573" t="s">
        <v>1687</v>
      </c>
      <c r="E433" s="2715"/>
      <c r="F433" s="2715"/>
      <c r="G433" s="2716"/>
      <c r="H433" s="1427" t="s">
        <v>1688</v>
      </c>
      <c r="I433" s="2576">
        <v>83333</v>
      </c>
      <c r="J433" s="2717"/>
      <c r="K433" s="2718"/>
      <c r="L433" s="1428" t="s">
        <v>676</v>
      </c>
      <c r="M433" s="1428">
        <v>16670</v>
      </c>
      <c r="N433" s="1427" t="s">
        <v>676</v>
      </c>
      <c r="O433" s="1427" t="s">
        <v>1689</v>
      </c>
      <c r="P433" s="1427" t="s">
        <v>1690</v>
      </c>
      <c r="Q433" s="1427" t="s">
        <v>1691</v>
      </c>
      <c r="R433" s="1427" t="s">
        <v>673</v>
      </c>
    </row>
    <row r="434" spans="2:18" ht="216.75">
      <c r="B434" s="1453"/>
      <c r="C434" s="1427">
        <v>10</v>
      </c>
      <c r="D434" s="2573" t="s">
        <v>1692</v>
      </c>
      <c r="E434" s="2715"/>
      <c r="F434" s="2715"/>
      <c r="G434" s="2716"/>
      <c r="H434" s="1427" t="s">
        <v>1260</v>
      </c>
      <c r="I434" s="2576">
        <v>136667</v>
      </c>
      <c r="J434" s="2717"/>
      <c r="K434" s="2718"/>
      <c r="L434" s="1428" t="s">
        <v>688</v>
      </c>
      <c r="M434" s="1428">
        <v>120200</v>
      </c>
      <c r="N434" s="1427" t="s">
        <v>1693</v>
      </c>
      <c r="O434" s="1427" t="s">
        <v>1694</v>
      </c>
      <c r="P434" s="1427" t="s">
        <v>1695</v>
      </c>
      <c r="Q434" s="1427" t="s">
        <v>1526</v>
      </c>
      <c r="R434" s="1427" t="s">
        <v>673</v>
      </c>
    </row>
    <row r="435" spans="2:18" ht="15">
      <c r="B435" s="1453"/>
      <c r="C435" s="2573">
        <v>11</v>
      </c>
      <c r="D435" s="2573" t="s">
        <v>1696</v>
      </c>
      <c r="E435" s="2720"/>
      <c r="F435" s="2720"/>
      <c r="G435" s="2721"/>
      <c r="H435" s="2573" t="s">
        <v>1260</v>
      </c>
      <c r="I435" s="2576">
        <v>58333</v>
      </c>
      <c r="J435" s="2725"/>
      <c r="K435" s="2726"/>
      <c r="L435" s="2576" t="s">
        <v>676</v>
      </c>
      <c r="M435" s="1428">
        <v>29167</v>
      </c>
      <c r="N435" s="1427" t="s">
        <v>676</v>
      </c>
      <c r="O435" s="1427" t="s">
        <v>1697</v>
      </c>
      <c r="P435" s="1427" t="s">
        <v>1698</v>
      </c>
      <c r="Q435" s="1427" t="s">
        <v>1699</v>
      </c>
      <c r="R435" s="1427" t="s">
        <v>673</v>
      </c>
    </row>
    <row r="436" spans="2:18" ht="15">
      <c r="B436" s="1453"/>
      <c r="C436" s="2719"/>
      <c r="D436" s="2722"/>
      <c r="E436" s="2723"/>
      <c r="F436" s="2723"/>
      <c r="G436" s="2724"/>
      <c r="H436" s="2719"/>
      <c r="I436" s="2727"/>
      <c r="J436" s="2728"/>
      <c r="K436" s="2729"/>
      <c r="L436" s="2730"/>
      <c r="M436" s="1428">
        <v>17917</v>
      </c>
      <c r="N436" s="1427" t="s">
        <v>676</v>
      </c>
      <c r="O436" s="1427" t="s">
        <v>1700</v>
      </c>
      <c r="P436" s="1427" t="s">
        <v>1701</v>
      </c>
      <c r="Q436" s="1427" t="s">
        <v>1699</v>
      </c>
      <c r="R436" s="1427" t="s">
        <v>673</v>
      </c>
    </row>
    <row r="437" spans="2:18" ht="102">
      <c r="B437" s="1453"/>
      <c r="C437" s="1427">
        <v>12</v>
      </c>
      <c r="D437" s="2573" t="s">
        <v>1702</v>
      </c>
      <c r="E437" s="2715"/>
      <c r="F437" s="2715"/>
      <c r="G437" s="2716"/>
      <c r="H437" s="1427" t="s">
        <v>1260</v>
      </c>
      <c r="I437" s="2576">
        <v>58333</v>
      </c>
      <c r="J437" s="2717"/>
      <c r="K437" s="2718"/>
      <c r="L437" s="1428" t="s">
        <v>676</v>
      </c>
      <c r="M437" s="1428">
        <v>43800</v>
      </c>
      <c r="N437" s="1427" t="s">
        <v>676</v>
      </c>
      <c r="O437" s="1427" t="s">
        <v>1703</v>
      </c>
      <c r="P437" s="1427" t="s">
        <v>1704</v>
      </c>
      <c r="Q437" s="1427" t="s">
        <v>1705</v>
      </c>
      <c r="R437" s="1427" t="s">
        <v>673</v>
      </c>
    </row>
    <row r="438" spans="2:18" ht="63.75">
      <c r="B438" s="1453"/>
      <c r="C438" s="1427">
        <v>13</v>
      </c>
      <c r="D438" s="2573" t="s">
        <v>1706</v>
      </c>
      <c r="E438" s="2715"/>
      <c r="F438" s="2715"/>
      <c r="G438" s="2716"/>
      <c r="H438" s="1427" t="s">
        <v>1707</v>
      </c>
      <c r="I438" s="2576">
        <v>83333</v>
      </c>
      <c r="J438" s="2717"/>
      <c r="K438" s="2718"/>
      <c r="L438" s="1428" t="s">
        <v>676</v>
      </c>
      <c r="M438" s="1428">
        <v>48500</v>
      </c>
      <c r="N438" s="1427" t="s">
        <v>676</v>
      </c>
      <c r="O438" s="1427" t="s">
        <v>1708</v>
      </c>
      <c r="P438" s="1427" t="s">
        <v>1709</v>
      </c>
      <c r="Q438" s="1427" t="s">
        <v>1710</v>
      </c>
      <c r="R438" s="1427" t="s">
        <v>704</v>
      </c>
    </row>
    <row r="439" spans="2:18" ht="14.25">
      <c r="B439" s="1418"/>
      <c r="C439" s="1435"/>
      <c r="D439" s="2589" t="s">
        <v>761</v>
      </c>
      <c r="E439" s="2589"/>
      <c r="F439" s="2589"/>
      <c r="G439" s="2589"/>
      <c r="H439" s="1435"/>
      <c r="I439" s="2701">
        <f>SUM(I423:K438)</f>
        <v>1460821</v>
      </c>
      <c r="J439" s="2701"/>
      <c r="K439" s="2701"/>
      <c r="L439" s="1433"/>
      <c r="M439" s="1433">
        <f>SUM(M423:M438)</f>
        <v>1119408</v>
      </c>
      <c r="N439" s="1434"/>
      <c r="O439" s="1435"/>
      <c r="P439" s="1436"/>
      <c r="Q439" s="1436"/>
      <c r="R439" s="1436"/>
    </row>
    <row r="440" spans="2:18" ht="15">
      <c r="B440" s="1418"/>
      <c r="C440" s="1419"/>
      <c r="D440" s="1419"/>
      <c r="E440" s="1419"/>
      <c r="F440" s="1419"/>
      <c r="G440" s="1419"/>
      <c r="H440" s="1419"/>
      <c r="I440" s="1416"/>
      <c r="J440" s="1416"/>
      <c r="K440" s="1416"/>
      <c r="L440" s="1416"/>
      <c r="M440" s="1416"/>
      <c r="N440" s="1419"/>
      <c r="O440" s="1437" t="s">
        <v>762</v>
      </c>
      <c r="P440" s="1418"/>
      <c r="Q440" s="1418"/>
      <c r="R440" s="1418"/>
    </row>
    <row r="441" spans="2:18" ht="15">
      <c r="B441" s="1418"/>
      <c r="C441" s="1419"/>
      <c r="D441" s="1419"/>
      <c r="E441" s="1419"/>
      <c r="F441" s="1419"/>
      <c r="G441" s="1419"/>
      <c r="H441" s="1419"/>
      <c r="I441" s="1416"/>
      <c r="J441" s="1416"/>
      <c r="K441" s="1416"/>
      <c r="L441" s="1416"/>
      <c r="M441" s="1416"/>
      <c r="N441" s="1419"/>
      <c r="O441" s="1437" t="s">
        <v>763</v>
      </c>
      <c r="P441" s="1418"/>
      <c r="Q441" s="1418"/>
      <c r="R441" s="1418"/>
    </row>
    <row r="442" spans="2:18" ht="23.25">
      <c r="B442" s="2593" t="s">
        <v>652</v>
      </c>
      <c r="C442" s="2593"/>
      <c r="D442" s="2593"/>
      <c r="E442" s="2593"/>
      <c r="F442" s="2593"/>
      <c r="G442" s="2593"/>
      <c r="H442" s="2593"/>
      <c r="I442" s="2593"/>
      <c r="J442" s="1416"/>
      <c r="K442" s="1416"/>
      <c r="L442" s="1416"/>
      <c r="M442" s="1416"/>
      <c r="N442" s="1419"/>
      <c r="O442" s="1419"/>
      <c r="P442" s="1419"/>
      <c r="Q442" s="1419"/>
      <c r="R442" s="1419"/>
    </row>
    <row r="443" spans="2:18" ht="14.25">
      <c r="B443" s="1419"/>
      <c r="C443" s="1419"/>
      <c r="D443" s="1419"/>
      <c r="E443" s="1419"/>
      <c r="F443" s="1419"/>
      <c r="G443" s="1419"/>
      <c r="H443" s="1419"/>
      <c r="I443" s="1416"/>
      <c r="J443" s="1416"/>
      <c r="K443" s="1416"/>
      <c r="L443" s="1416"/>
      <c r="M443" s="1416"/>
      <c r="N443" s="1419"/>
      <c r="O443" s="1419"/>
      <c r="P443" s="1419"/>
      <c r="Q443" s="1419"/>
      <c r="R443" s="1419"/>
    </row>
    <row r="444" spans="2:18" ht="15">
      <c r="B444" s="2595" t="s">
        <v>653</v>
      </c>
      <c r="C444" s="2595"/>
      <c r="D444" s="2595"/>
      <c r="E444" s="1419"/>
      <c r="F444" s="1422" t="s">
        <v>654</v>
      </c>
      <c r="G444" s="1419"/>
      <c r="H444" s="1419"/>
      <c r="I444" s="1416"/>
      <c r="J444" s="1416"/>
      <c r="K444" s="1416"/>
      <c r="L444" s="1416"/>
      <c r="M444" s="1416"/>
      <c r="N444" s="1419"/>
      <c r="O444" s="1419"/>
      <c r="P444" s="1419"/>
      <c r="Q444" s="1419"/>
      <c r="R444" s="1419"/>
    </row>
    <row r="445" spans="2:18" ht="14.25">
      <c r="B445" s="1419"/>
      <c r="C445" s="1419"/>
      <c r="D445" s="1419"/>
      <c r="E445" s="1419"/>
      <c r="F445" s="1419"/>
      <c r="G445" s="1419"/>
      <c r="H445" s="1419"/>
      <c r="I445" s="1416"/>
      <c r="J445" s="1416"/>
      <c r="K445" s="1416"/>
      <c r="L445" s="1416"/>
      <c r="M445" s="1416"/>
      <c r="N445" s="1419"/>
      <c r="O445" s="1419"/>
      <c r="P445" s="1419"/>
      <c r="Q445" s="1419"/>
      <c r="R445" s="1419"/>
    </row>
    <row r="446" spans="2:18" ht="15">
      <c r="B446" s="2595" t="s">
        <v>655</v>
      </c>
      <c r="C446" s="2595"/>
      <c r="D446" s="2595"/>
      <c r="E446" s="1440"/>
      <c r="F446" s="2597" t="s">
        <v>1711</v>
      </c>
      <c r="G446" s="2597"/>
      <c r="H446" s="2597"/>
      <c r="I446" s="2597"/>
      <c r="J446" s="2597"/>
      <c r="K446" s="1443"/>
      <c r="L446" s="1443"/>
      <c r="M446" s="1443"/>
      <c r="N446" s="1440"/>
      <c r="O446" s="1440"/>
      <c r="P446" s="1440"/>
      <c r="Q446" s="1440"/>
      <c r="R446" s="1440"/>
    </row>
    <row r="447" spans="2:18" ht="15">
      <c r="B447" s="1444"/>
      <c r="C447" s="1444"/>
      <c r="D447" s="1444"/>
      <c r="E447" s="1444"/>
      <c r="F447" s="1444"/>
      <c r="G447" s="1444"/>
      <c r="H447" s="1444"/>
      <c r="I447" s="1446"/>
      <c r="J447" s="1446"/>
      <c r="K447" s="1446"/>
      <c r="L447" s="1446"/>
      <c r="M447" s="1446"/>
      <c r="N447" s="1444"/>
      <c r="O447" s="1444"/>
      <c r="P447" s="1444"/>
      <c r="Q447" s="1444"/>
      <c r="R447" s="1444"/>
    </row>
    <row r="448" spans="2:18" ht="409.5">
      <c r="B448" s="1453"/>
      <c r="C448" s="1426" t="s">
        <v>657</v>
      </c>
      <c r="D448" s="2588" t="s">
        <v>587</v>
      </c>
      <c r="E448" s="2574"/>
      <c r="F448" s="2574"/>
      <c r="G448" s="2575"/>
      <c r="H448" s="1426" t="s">
        <v>658</v>
      </c>
      <c r="I448" s="2588" t="s">
        <v>659</v>
      </c>
      <c r="J448" s="2574"/>
      <c r="K448" s="2575"/>
      <c r="L448" s="1426" t="s">
        <v>660</v>
      </c>
      <c r="M448" s="1426" t="s">
        <v>661</v>
      </c>
      <c r="N448" s="1426" t="s">
        <v>662</v>
      </c>
      <c r="O448" s="1426" t="s">
        <v>663</v>
      </c>
      <c r="P448" s="1426" t="s">
        <v>664</v>
      </c>
      <c r="Q448" s="1426" t="s">
        <v>665</v>
      </c>
      <c r="R448" s="1426" t="s">
        <v>666</v>
      </c>
    </row>
    <row r="449" spans="2:18" ht="216.75">
      <c r="B449" s="1453"/>
      <c r="C449" s="1427">
        <v>1</v>
      </c>
      <c r="D449" s="2573" t="s">
        <v>1712</v>
      </c>
      <c r="E449" s="2574"/>
      <c r="F449" s="2574"/>
      <c r="G449" s="2575"/>
      <c r="H449" s="1427" t="s">
        <v>1713</v>
      </c>
      <c r="I449" s="2576">
        <v>250000</v>
      </c>
      <c r="J449" s="2577"/>
      <c r="K449" s="2578"/>
      <c r="L449" s="1428" t="s">
        <v>688</v>
      </c>
      <c r="M449" s="1428">
        <v>224400</v>
      </c>
      <c r="N449" s="1427" t="s">
        <v>1714</v>
      </c>
      <c r="O449" s="1427" t="s">
        <v>1715</v>
      </c>
      <c r="P449" s="1427" t="s">
        <v>1716</v>
      </c>
      <c r="Q449" s="1427" t="s">
        <v>1717</v>
      </c>
      <c r="R449" s="1427" t="s">
        <v>704</v>
      </c>
    </row>
    <row r="450" spans="2:18" ht="216.75">
      <c r="B450" s="1453"/>
      <c r="C450" s="1427">
        <v>2</v>
      </c>
      <c r="D450" s="2573" t="s">
        <v>1718</v>
      </c>
      <c r="E450" s="2574"/>
      <c r="F450" s="2574"/>
      <c r="G450" s="2575"/>
      <c r="H450" s="1427" t="s">
        <v>1183</v>
      </c>
      <c r="I450" s="2576">
        <v>400000</v>
      </c>
      <c r="J450" s="2577"/>
      <c r="K450" s="2578"/>
      <c r="L450" s="1428" t="s">
        <v>688</v>
      </c>
      <c r="M450" s="1428">
        <v>312936</v>
      </c>
      <c r="N450" s="1427" t="s">
        <v>1719</v>
      </c>
      <c r="O450" s="1427" t="s">
        <v>1418</v>
      </c>
      <c r="P450" s="1427" t="s">
        <v>1419</v>
      </c>
      <c r="Q450" s="1427" t="s">
        <v>1720</v>
      </c>
      <c r="R450" s="1427" t="s">
        <v>673</v>
      </c>
    </row>
    <row r="451" spans="2:18" ht="216.75">
      <c r="B451" s="1453"/>
      <c r="C451" s="1427">
        <v>3</v>
      </c>
      <c r="D451" s="2573" t="s">
        <v>1721</v>
      </c>
      <c r="E451" s="2574"/>
      <c r="F451" s="2574"/>
      <c r="G451" s="2575"/>
      <c r="H451" s="1427" t="s">
        <v>699</v>
      </c>
      <c r="I451" s="2576">
        <v>666667</v>
      </c>
      <c r="J451" s="2577"/>
      <c r="K451" s="2578"/>
      <c r="L451" s="1428" t="s">
        <v>688</v>
      </c>
      <c r="M451" s="1428">
        <v>287572</v>
      </c>
      <c r="N451" s="1427" t="s">
        <v>1722</v>
      </c>
      <c r="O451" s="1427" t="s">
        <v>830</v>
      </c>
      <c r="P451" s="1427" t="s">
        <v>831</v>
      </c>
      <c r="Q451" s="1427" t="s">
        <v>1577</v>
      </c>
      <c r="R451" s="1427" t="s">
        <v>704</v>
      </c>
    </row>
    <row r="452" spans="2:18" ht="63.75">
      <c r="B452" s="1453"/>
      <c r="C452" s="1427">
        <v>4</v>
      </c>
      <c r="D452" s="2573" t="s">
        <v>1723</v>
      </c>
      <c r="E452" s="2574"/>
      <c r="F452" s="2574"/>
      <c r="G452" s="2575"/>
      <c r="H452" s="1427" t="s">
        <v>1724</v>
      </c>
      <c r="I452" s="2576">
        <v>58333</v>
      </c>
      <c r="J452" s="2577"/>
      <c r="K452" s="2578"/>
      <c r="L452" s="1428" t="s">
        <v>676</v>
      </c>
      <c r="M452" s="1428">
        <v>58300</v>
      </c>
      <c r="N452" s="1427" t="s">
        <v>676</v>
      </c>
      <c r="O452" s="1427" t="s">
        <v>1725</v>
      </c>
      <c r="P452" s="1427" t="s">
        <v>1726</v>
      </c>
      <c r="Q452" s="1427" t="s">
        <v>1727</v>
      </c>
      <c r="R452" s="1427" t="s">
        <v>704</v>
      </c>
    </row>
    <row r="453" spans="2:18" ht="63.75">
      <c r="B453" s="1453"/>
      <c r="C453" s="1427">
        <v>5</v>
      </c>
      <c r="D453" s="2573" t="s">
        <v>1728</v>
      </c>
      <c r="E453" s="2574"/>
      <c r="F453" s="2574"/>
      <c r="G453" s="2575"/>
      <c r="H453" s="1427" t="s">
        <v>1729</v>
      </c>
      <c r="I453" s="2576">
        <v>83334</v>
      </c>
      <c r="J453" s="2577"/>
      <c r="K453" s="2578"/>
      <c r="L453" s="1428" t="s">
        <v>676</v>
      </c>
      <c r="M453" s="1428">
        <v>83333</v>
      </c>
      <c r="N453" s="1427" t="s">
        <v>676</v>
      </c>
      <c r="O453" s="1427" t="s">
        <v>1730</v>
      </c>
      <c r="P453" s="1427" t="s">
        <v>1731</v>
      </c>
      <c r="Q453" s="1427" t="s">
        <v>1732</v>
      </c>
      <c r="R453" s="1427" t="s">
        <v>704</v>
      </c>
    </row>
    <row r="454" spans="2:18" ht="216.75">
      <c r="B454" s="1453"/>
      <c r="C454" s="1427">
        <v>6</v>
      </c>
      <c r="D454" s="2573" t="s">
        <v>1733</v>
      </c>
      <c r="E454" s="2574"/>
      <c r="F454" s="2574"/>
      <c r="G454" s="2575"/>
      <c r="H454" s="1427" t="s">
        <v>675</v>
      </c>
      <c r="I454" s="2576">
        <v>250000</v>
      </c>
      <c r="J454" s="2577"/>
      <c r="K454" s="2578"/>
      <c r="L454" s="1428" t="s">
        <v>688</v>
      </c>
      <c r="M454" s="1428">
        <v>98000</v>
      </c>
      <c r="N454" s="1427" t="s">
        <v>1734</v>
      </c>
      <c r="O454" s="1427" t="s">
        <v>1036</v>
      </c>
      <c r="P454" s="1427" t="s">
        <v>1037</v>
      </c>
      <c r="Q454" s="1427" t="s">
        <v>1735</v>
      </c>
      <c r="R454" s="1427" t="s">
        <v>704</v>
      </c>
    </row>
    <row r="455" spans="2:18" ht="216.75">
      <c r="B455" s="1453"/>
      <c r="C455" s="1427">
        <v>7</v>
      </c>
      <c r="D455" s="2573" t="s">
        <v>1736</v>
      </c>
      <c r="E455" s="2574"/>
      <c r="F455" s="2574"/>
      <c r="G455" s="2575"/>
      <c r="H455" s="1427" t="s">
        <v>1039</v>
      </c>
      <c r="I455" s="2576">
        <v>500000</v>
      </c>
      <c r="J455" s="2577"/>
      <c r="K455" s="2578"/>
      <c r="L455" s="1428" t="s">
        <v>688</v>
      </c>
      <c r="M455" s="1428">
        <v>490000</v>
      </c>
      <c r="N455" s="1427" t="s">
        <v>1719</v>
      </c>
      <c r="O455" s="1427" t="s">
        <v>1737</v>
      </c>
      <c r="P455" s="1427" t="s">
        <v>1738</v>
      </c>
      <c r="Q455" s="1427" t="s">
        <v>1720</v>
      </c>
      <c r="R455" s="1427" t="s">
        <v>673</v>
      </c>
    </row>
    <row r="456" spans="2:18" ht="89.25">
      <c r="B456" s="1453"/>
      <c r="C456" s="1427">
        <v>8</v>
      </c>
      <c r="D456" s="2573" t="s">
        <v>1739</v>
      </c>
      <c r="E456" s="2574"/>
      <c r="F456" s="2574"/>
      <c r="G456" s="2575"/>
      <c r="H456" s="1427" t="s">
        <v>1062</v>
      </c>
      <c r="I456" s="2576">
        <v>83334</v>
      </c>
      <c r="J456" s="2577"/>
      <c r="K456" s="2578"/>
      <c r="L456" s="1428" t="s">
        <v>676</v>
      </c>
      <c r="M456" s="1428">
        <v>83334</v>
      </c>
      <c r="N456" s="1427" t="s">
        <v>676</v>
      </c>
      <c r="O456" s="1427" t="s">
        <v>1740</v>
      </c>
      <c r="P456" s="1427" t="s">
        <v>1741</v>
      </c>
      <c r="Q456" s="1427" t="s">
        <v>1742</v>
      </c>
      <c r="R456" s="1427" t="s">
        <v>704</v>
      </c>
    </row>
    <row r="457" spans="2:18" ht="216.75">
      <c r="B457" s="1453"/>
      <c r="C457" s="1427">
        <v>9</v>
      </c>
      <c r="D457" s="2573" t="s">
        <v>1743</v>
      </c>
      <c r="E457" s="2574"/>
      <c r="F457" s="2574"/>
      <c r="G457" s="2575"/>
      <c r="H457" s="1427" t="s">
        <v>1183</v>
      </c>
      <c r="I457" s="2576">
        <v>2690000</v>
      </c>
      <c r="J457" s="2577"/>
      <c r="K457" s="2578"/>
      <c r="L457" s="1428" t="s">
        <v>892</v>
      </c>
      <c r="M457" s="1428">
        <v>2686900</v>
      </c>
      <c r="N457" s="1427" t="s">
        <v>1651</v>
      </c>
      <c r="O457" s="1427" t="s">
        <v>1418</v>
      </c>
      <c r="P457" s="1427" t="s">
        <v>1419</v>
      </c>
      <c r="Q457" s="1427" t="s">
        <v>1744</v>
      </c>
      <c r="R457" s="1427" t="s">
        <v>704</v>
      </c>
    </row>
    <row r="458" spans="2:18" ht="51">
      <c r="B458" s="1453"/>
      <c r="C458" s="1427">
        <v>10</v>
      </c>
      <c r="D458" s="2573" t="s">
        <v>1745</v>
      </c>
      <c r="E458" s="2574"/>
      <c r="F458" s="2574"/>
      <c r="G458" s="2575"/>
      <c r="H458" s="1427" t="s">
        <v>1746</v>
      </c>
      <c r="I458" s="2576">
        <v>100000</v>
      </c>
      <c r="J458" s="2577"/>
      <c r="K458" s="2578"/>
      <c r="L458" s="1428" t="s">
        <v>676</v>
      </c>
      <c r="M458" s="1428">
        <v>100000</v>
      </c>
      <c r="N458" s="1427" t="s">
        <v>676</v>
      </c>
      <c r="O458" s="1427" t="s">
        <v>1747</v>
      </c>
      <c r="P458" s="1427" t="s">
        <v>1748</v>
      </c>
      <c r="Q458" s="1427" t="s">
        <v>1749</v>
      </c>
      <c r="R458" s="1427" t="s">
        <v>704</v>
      </c>
    </row>
    <row r="459" spans="2:18" ht="14.25">
      <c r="B459" s="1419"/>
      <c r="C459" s="1435"/>
      <c r="D459" s="2589" t="s">
        <v>761</v>
      </c>
      <c r="E459" s="2589"/>
      <c r="F459" s="2589"/>
      <c r="G459" s="2589"/>
      <c r="H459" s="1435"/>
      <c r="I459" s="2590">
        <f>SUM(I449:I458)</f>
        <v>5081668</v>
      </c>
      <c r="J459" s="2591"/>
      <c r="K459" s="2592"/>
      <c r="L459" s="1433"/>
      <c r="M459" s="1433">
        <f>SUM(M449:M458)</f>
        <v>4424775</v>
      </c>
      <c r="N459" s="1434"/>
      <c r="O459" s="1435"/>
      <c r="P459" s="1435"/>
      <c r="Q459" s="1435"/>
      <c r="R459" s="1435"/>
    </row>
    <row r="460" spans="2:18" ht="15">
      <c r="B460" s="1419"/>
      <c r="C460" s="1419"/>
      <c r="D460" s="1419"/>
      <c r="E460" s="1419"/>
      <c r="F460" s="1419"/>
      <c r="G460" s="1419"/>
      <c r="H460" s="1419"/>
      <c r="I460" s="1416"/>
      <c r="J460" s="1416"/>
      <c r="K460" s="1416"/>
      <c r="L460" s="1416"/>
      <c r="M460" s="1416"/>
      <c r="N460" s="1419"/>
      <c r="O460" s="1437" t="s">
        <v>762</v>
      </c>
      <c r="P460" s="1419"/>
      <c r="Q460" s="1419"/>
      <c r="R460" s="1419"/>
    </row>
    <row r="461" spans="2:18" ht="15">
      <c r="B461" s="1419"/>
      <c r="C461" s="1419"/>
      <c r="D461" s="1419"/>
      <c r="E461" s="1419"/>
      <c r="F461" s="1419"/>
      <c r="G461" s="1419"/>
      <c r="H461" s="1419"/>
      <c r="I461" s="1416"/>
      <c r="J461" s="1416"/>
      <c r="K461" s="1416"/>
      <c r="L461" s="1416"/>
      <c r="M461" s="1416"/>
      <c r="N461" s="1419"/>
      <c r="O461" s="1437" t="s">
        <v>763</v>
      </c>
      <c r="P461" s="1419"/>
      <c r="Q461" s="1419"/>
      <c r="R461" s="1419"/>
    </row>
    <row r="462" spans="2:18" ht="23.25">
      <c r="B462" s="2593" t="s">
        <v>652</v>
      </c>
      <c r="C462" s="2593"/>
      <c r="D462" s="2593"/>
      <c r="E462" s="2593"/>
      <c r="F462" s="2593"/>
      <c r="G462" s="2593"/>
      <c r="H462" s="2593"/>
      <c r="I462" s="2593"/>
      <c r="J462" s="1416"/>
      <c r="K462" s="1416"/>
      <c r="L462" s="1416"/>
      <c r="M462" s="1416"/>
      <c r="N462" s="1419"/>
      <c r="O462" s="1419"/>
      <c r="P462" s="1419"/>
      <c r="Q462" s="1419"/>
      <c r="R462" s="1419"/>
    </row>
    <row r="463" spans="2:18" ht="14.25">
      <c r="B463" s="1419"/>
      <c r="C463" s="1419"/>
      <c r="D463" s="1419"/>
      <c r="E463" s="1419"/>
      <c r="F463" s="1419"/>
      <c r="G463" s="1419"/>
      <c r="H463" s="1419"/>
      <c r="I463" s="1416"/>
      <c r="J463" s="1416"/>
      <c r="K463" s="1416"/>
      <c r="L463" s="1416"/>
      <c r="M463" s="1416"/>
      <c r="N463" s="1419"/>
      <c r="O463" s="1419"/>
      <c r="P463" s="1419"/>
      <c r="Q463" s="1419"/>
      <c r="R463" s="1419"/>
    </row>
    <row r="464" spans="2:18" ht="15">
      <c r="B464" s="2595" t="s">
        <v>653</v>
      </c>
      <c r="C464" s="2595"/>
      <c r="D464" s="2595"/>
      <c r="E464" s="1419"/>
      <c r="F464" s="1422" t="s">
        <v>654</v>
      </c>
      <c r="G464" s="1419"/>
      <c r="H464" s="1419"/>
      <c r="I464" s="1416"/>
      <c r="J464" s="1416"/>
      <c r="K464" s="1416"/>
      <c r="L464" s="1416"/>
      <c r="M464" s="1416"/>
      <c r="N464" s="1419"/>
      <c r="O464" s="1419"/>
      <c r="P464" s="1419"/>
      <c r="Q464" s="1419"/>
      <c r="R464" s="1419"/>
    </row>
    <row r="465" spans="2:18" ht="14.25">
      <c r="B465" s="1419"/>
      <c r="C465" s="1419"/>
      <c r="D465" s="1419"/>
      <c r="E465" s="1419"/>
      <c r="F465" s="1419"/>
      <c r="G465" s="1419"/>
      <c r="H465" s="1419"/>
      <c r="I465" s="1416"/>
      <c r="J465" s="1416"/>
      <c r="K465" s="1416"/>
      <c r="L465" s="1416"/>
      <c r="M465" s="1416"/>
      <c r="N465" s="1419"/>
      <c r="O465" s="1419"/>
      <c r="P465" s="1419"/>
      <c r="Q465" s="1419"/>
      <c r="R465" s="1419"/>
    </row>
    <row r="466" spans="2:18" ht="15">
      <c r="B466" s="2595" t="s">
        <v>655</v>
      </c>
      <c r="C466" s="2595"/>
      <c r="D466" s="2595"/>
      <c r="E466" s="1440"/>
      <c r="F466" s="2597" t="s">
        <v>1750</v>
      </c>
      <c r="G466" s="2597"/>
      <c r="H466" s="2597"/>
      <c r="I466" s="2597"/>
      <c r="J466" s="2597"/>
      <c r="K466" s="1440"/>
      <c r="L466" s="1440"/>
      <c r="M466" s="1440"/>
      <c r="N466" s="1440"/>
      <c r="O466" s="1440"/>
      <c r="P466" s="1440"/>
      <c r="Q466" s="1440"/>
      <c r="R466" s="1440"/>
    </row>
    <row r="467" spans="2:18" ht="15">
      <c r="B467" s="1444"/>
      <c r="C467" s="1444"/>
      <c r="D467" s="1444"/>
      <c r="E467" s="1444"/>
      <c r="F467" s="1444"/>
      <c r="G467" s="1444"/>
      <c r="H467" s="1444"/>
      <c r="I467" s="1444"/>
      <c r="J467" s="1444"/>
      <c r="K467" s="1444"/>
      <c r="L467" s="1444"/>
      <c r="M467" s="1444"/>
      <c r="N467" s="1444"/>
      <c r="O467" s="1444"/>
      <c r="P467" s="1444"/>
      <c r="Q467" s="1444"/>
      <c r="R467" s="1444"/>
    </row>
    <row r="468" spans="2:18" ht="409.5">
      <c r="B468" s="1453"/>
      <c r="C468" s="1448" t="s">
        <v>657</v>
      </c>
      <c r="D468" s="2714" t="s">
        <v>587</v>
      </c>
      <c r="E468" s="2712"/>
      <c r="F468" s="2712"/>
      <c r="G468" s="2712"/>
      <c r="H468" s="1448" t="s">
        <v>658</v>
      </c>
      <c r="I468" s="2714" t="s">
        <v>659</v>
      </c>
      <c r="J468" s="2712"/>
      <c r="K468" s="2712"/>
      <c r="L468" s="1448" t="s">
        <v>660</v>
      </c>
      <c r="M468" s="1448" t="s">
        <v>661</v>
      </c>
      <c r="N468" s="1448" t="s">
        <v>662</v>
      </c>
      <c r="O468" s="1448" t="s">
        <v>663</v>
      </c>
      <c r="P468" s="1448" t="s">
        <v>664</v>
      </c>
      <c r="Q468" s="1448" t="s">
        <v>665</v>
      </c>
      <c r="R468" s="1448" t="s">
        <v>666</v>
      </c>
    </row>
    <row r="469" spans="2:18" ht="51">
      <c r="B469" s="1453"/>
      <c r="C469" s="1449">
        <v>1</v>
      </c>
      <c r="D469" s="2689" t="s">
        <v>1751</v>
      </c>
      <c r="E469" s="2712"/>
      <c r="F469" s="2712"/>
      <c r="G469" s="2712"/>
      <c r="H469" s="1449" t="s">
        <v>1093</v>
      </c>
      <c r="I469" s="2691">
        <v>61000</v>
      </c>
      <c r="J469" s="2713"/>
      <c r="K469" s="2713"/>
      <c r="L469" s="1450" t="s">
        <v>676</v>
      </c>
      <c r="M469" s="1450">
        <v>72696</v>
      </c>
      <c r="N469" s="1449" t="s">
        <v>676</v>
      </c>
      <c r="O469" s="1449" t="s">
        <v>1752</v>
      </c>
      <c r="P469" s="1449" t="s">
        <v>1753</v>
      </c>
      <c r="Q469" s="1449" t="s">
        <v>1754</v>
      </c>
      <c r="R469" s="1449" t="s">
        <v>704</v>
      </c>
    </row>
    <row r="470" spans="2:18" ht="216.75">
      <c r="B470" s="1453"/>
      <c r="C470" s="1449">
        <v>2</v>
      </c>
      <c r="D470" s="2689" t="s">
        <v>1755</v>
      </c>
      <c r="E470" s="2712"/>
      <c r="F470" s="2712"/>
      <c r="G470" s="2712"/>
      <c r="H470" s="1449" t="s">
        <v>1434</v>
      </c>
      <c r="I470" s="2691">
        <v>750000</v>
      </c>
      <c r="J470" s="2713"/>
      <c r="K470" s="2713"/>
      <c r="L470" s="1450" t="s">
        <v>688</v>
      </c>
      <c r="M470" s="1450">
        <v>728900</v>
      </c>
      <c r="N470" s="1449" t="s">
        <v>1756</v>
      </c>
      <c r="O470" s="1449" t="s">
        <v>1757</v>
      </c>
      <c r="P470" s="1449" t="s">
        <v>1758</v>
      </c>
      <c r="Q470" s="1449" t="s">
        <v>1759</v>
      </c>
      <c r="R470" s="1449" t="s">
        <v>673</v>
      </c>
    </row>
    <row r="471" spans="2:18" ht="38.25">
      <c r="B471" s="1453"/>
      <c r="C471" s="1449">
        <v>3</v>
      </c>
      <c r="D471" s="2689" t="s">
        <v>1760</v>
      </c>
      <c r="E471" s="2712"/>
      <c r="F471" s="2712"/>
      <c r="G471" s="2712"/>
      <c r="H471" s="1449" t="s">
        <v>699</v>
      </c>
      <c r="I471" s="2691">
        <v>50000</v>
      </c>
      <c r="J471" s="2713"/>
      <c r="K471" s="2713"/>
      <c r="L471" s="1450" t="s">
        <v>676</v>
      </c>
      <c r="M471" s="1450">
        <v>59412</v>
      </c>
      <c r="N471" s="1449" t="s">
        <v>676</v>
      </c>
      <c r="O471" s="1449" t="s">
        <v>1752</v>
      </c>
      <c r="P471" s="1449" t="s">
        <v>1753</v>
      </c>
      <c r="Q471" s="1449" t="s">
        <v>1761</v>
      </c>
      <c r="R471" s="1449" t="s">
        <v>673</v>
      </c>
    </row>
    <row r="472" spans="2:18" ht="25.5">
      <c r="B472" s="1453"/>
      <c r="C472" s="1449">
        <v>4</v>
      </c>
      <c r="D472" s="2689" t="s">
        <v>1762</v>
      </c>
      <c r="E472" s="2712"/>
      <c r="F472" s="2712"/>
      <c r="G472" s="2712"/>
      <c r="H472" s="1449" t="s">
        <v>1763</v>
      </c>
      <c r="I472" s="2691">
        <v>45000</v>
      </c>
      <c r="J472" s="2713"/>
      <c r="K472" s="2713"/>
      <c r="L472" s="1450" t="s">
        <v>676</v>
      </c>
      <c r="M472" s="1450">
        <v>56000</v>
      </c>
      <c r="N472" s="1449" t="s">
        <v>676</v>
      </c>
      <c r="O472" s="1449" t="s">
        <v>1764</v>
      </c>
      <c r="P472" s="1449" t="s">
        <v>1765</v>
      </c>
      <c r="Q472" s="1449" t="s">
        <v>1766</v>
      </c>
      <c r="R472" s="1449" t="s">
        <v>673</v>
      </c>
    </row>
    <row r="473" spans="2:18" ht="51">
      <c r="B473" s="1453"/>
      <c r="C473" s="1449">
        <v>5</v>
      </c>
      <c r="D473" s="2689" t="s">
        <v>1767</v>
      </c>
      <c r="E473" s="2712"/>
      <c r="F473" s="2712"/>
      <c r="G473" s="2712"/>
      <c r="H473" s="1449" t="s">
        <v>1455</v>
      </c>
      <c r="I473" s="2691">
        <v>95000</v>
      </c>
      <c r="J473" s="2713"/>
      <c r="K473" s="2713"/>
      <c r="L473" s="1450" t="s">
        <v>676</v>
      </c>
      <c r="M473" s="1450">
        <v>105600</v>
      </c>
      <c r="N473" s="1449" t="s">
        <v>676</v>
      </c>
      <c r="O473" s="1449" t="s">
        <v>1768</v>
      </c>
      <c r="P473" s="1449" t="s">
        <v>1769</v>
      </c>
      <c r="Q473" s="1449" t="s">
        <v>1770</v>
      </c>
      <c r="R473" s="1449" t="s">
        <v>673</v>
      </c>
    </row>
    <row r="474" spans="2:18" ht="51">
      <c r="B474" s="1453"/>
      <c r="C474" s="1449">
        <v>6</v>
      </c>
      <c r="D474" s="2689" t="s">
        <v>1771</v>
      </c>
      <c r="E474" s="2712"/>
      <c r="F474" s="2712"/>
      <c r="G474" s="2712"/>
      <c r="H474" s="1449" t="s">
        <v>1093</v>
      </c>
      <c r="I474" s="2691">
        <v>70000</v>
      </c>
      <c r="J474" s="2713"/>
      <c r="K474" s="2713"/>
      <c r="L474" s="1450" t="s">
        <v>676</v>
      </c>
      <c r="M474" s="1450">
        <v>68290</v>
      </c>
      <c r="N474" s="1449" t="s">
        <v>676</v>
      </c>
      <c r="O474" s="1449" t="s">
        <v>1772</v>
      </c>
      <c r="P474" s="1449" t="s">
        <v>1773</v>
      </c>
      <c r="Q474" s="1449" t="s">
        <v>1774</v>
      </c>
      <c r="R474" s="1449" t="s">
        <v>704</v>
      </c>
    </row>
    <row r="475" spans="2:18" ht="51">
      <c r="B475" s="1453"/>
      <c r="C475" s="1449">
        <v>7</v>
      </c>
      <c r="D475" s="2689" t="s">
        <v>1775</v>
      </c>
      <c r="E475" s="2712"/>
      <c r="F475" s="2712"/>
      <c r="G475" s="2712"/>
      <c r="H475" s="1449" t="s">
        <v>1093</v>
      </c>
      <c r="I475" s="2691">
        <v>65000</v>
      </c>
      <c r="J475" s="2713"/>
      <c r="K475" s="2713"/>
      <c r="L475" s="1450" t="s">
        <v>676</v>
      </c>
      <c r="M475" s="1450">
        <v>63150</v>
      </c>
      <c r="N475" s="1449" t="s">
        <v>676</v>
      </c>
      <c r="O475" s="1449" t="s">
        <v>1772</v>
      </c>
      <c r="P475" s="1449" t="s">
        <v>1773</v>
      </c>
      <c r="Q475" s="1449" t="s">
        <v>1776</v>
      </c>
      <c r="R475" s="1449" t="s">
        <v>673</v>
      </c>
    </row>
    <row r="476" spans="2:18" ht="38.25">
      <c r="B476" s="1453"/>
      <c r="C476" s="1449">
        <v>8</v>
      </c>
      <c r="D476" s="2689" t="s">
        <v>1777</v>
      </c>
      <c r="E476" s="2689"/>
      <c r="F476" s="2689"/>
      <c r="G476" s="2689"/>
      <c r="H476" s="1449" t="s">
        <v>749</v>
      </c>
      <c r="I476" s="2691">
        <v>34000</v>
      </c>
      <c r="J476" s="2691"/>
      <c r="K476" s="2691"/>
      <c r="L476" s="1450" t="s">
        <v>676</v>
      </c>
      <c r="M476" s="1450">
        <v>40770</v>
      </c>
      <c r="N476" s="1449" t="s">
        <v>676</v>
      </c>
      <c r="O476" s="1449" t="s">
        <v>1778</v>
      </c>
      <c r="P476" s="1449" t="s">
        <v>1779</v>
      </c>
      <c r="Q476" s="1449" t="s">
        <v>1780</v>
      </c>
      <c r="R476" s="1449" t="s">
        <v>673</v>
      </c>
    </row>
    <row r="477" spans="2:18" ht="38.25">
      <c r="B477" s="1453"/>
      <c r="C477" s="1449">
        <v>9</v>
      </c>
      <c r="D477" s="2689" t="s">
        <v>1777</v>
      </c>
      <c r="E477" s="2689"/>
      <c r="F477" s="2689"/>
      <c r="G477" s="2689"/>
      <c r="H477" s="1449" t="s">
        <v>749</v>
      </c>
      <c r="I477" s="2691">
        <v>34000</v>
      </c>
      <c r="J477" s="2691"/>
      <c r="K477" s="2691"/>
      <c r="L477" s="1532"/>
      <c r="M477" s="1450">
        <v>33300</v>
      </c>
      <c r="N477" s="1449" t="s">
        <v>676</v>
      </c>
      <c r="O477" s="1449" t="s">
        <v>1778</v>
      </c>
      <c r="P477" s="1449" t="s">
        <v>1779</v>
      </c>
      <c r="Q477" s="1449" t="s">
        <v>1781</v>
      </c>
      <c r="R477" s="1449" t="s">
        <v>673</v>
      </c>
    </row>
    <row r="478" spans="2:18" ht="51">
      <c r="B478" s="1453"/>
      <c r="C478" s="1449">
        <v>10</v>
      </c>
      <c r="D478" s="2689" t="s">
        <v>1782</v>
      </c>
      <c r="E478" s="2712"/>
      <c r="F478" s="2712"/>
      <c r="G478" s="2712"/>
      <c r="H478" s="1449" t="s">
        <v>1093</v>
      </c>
      <c r="I478" s="2691">
        <v>30000</v>
      </c>
      <c r="J478" s="2713"/>
      <c r="K478" s="2713"/>
      <c r="L478" s="1450" t="s">
        <v>676</v>
      </c>
      <c r="M478" s="1450">
        <v>29800</v>
      </c>
      <c r="N478" s="1449" t="s">
        <v>676</v>
      </c>
      <c r="O478" s="1449" t="s">
        <v>1772</v>
      </c>
      <c r="P478" s="1449" t="s">
        <v>1773</v>
      </c>
      <c r="Q478" s="1449" t="s">
        <v>1783</v>
      </c>
      <c r="R478" s="1449" t="s">
        <v>673</v>
      </c>
    </row>
    <row r="479" spans="2:18" ht="51">
      <c r="B479" s="1453"/>
      <c r="C479" s="1449">
        <v>11</v>
      </c>
      <c r="D479" s="2689" t="s">
        <v>1784</v>
      </c>
      <c r="E479" s="2712"/>
      <c r="F479" s="2712"/>
      <c r="G479" s="2712"/>
      <c r="H479" s="1449" t="s">
        <v>1093</v>
      </c>
      <c r="I479" s="2691">
        <v>85000</v>
      </c>
      <c r="J479" s="2713"/>
      <c r="K479" s="2713"/>
      <c r="L479" s="1450" t="s">
        <v>676</v>
      </c>
      <c r="M479" s="1450">
        <v>100860</v>
      </c>
      <c r="N479" s="1449" t="s">
        <v>676</v>
      </c>
      <c r="O479" s="1449" t="s">
        <v>996</v>
      </c>
      <c r="P479" s="1449" t="s">
        <v>997</v>
      </c>
      <c r="Q479" s="1449" t="s">
        <v>1785</v>
      </c>
      <c r="R479" s="1449" t="s">
        <v>704</v>
      </c>
    </row>
    <row r="480" spans="2:18" ht="127.5">
      <c r="B480" s="1453"/>
      <c r="C480" s="1449">
        <v>12</v>
      </c>
      <c r="D480" s="2689" t="s">
        <v>1786</v>
      </c>
      <c r="E480" s="2712"/>
      <c r="F480" s="2712"/>
      <c r="G480" s="2712"/>
      <c r="H480" s="1449" t="s">
        <v>1787</v>
      </c>
      <c r="I480" s="2691">
        <v>50000</v>
      </c>
      <c r="J480" s="2713"/>
      <c r="K480" s="2713"/>
      <c r="L480" s="1450" t="s">
        <v>676</v>
      </c>
      <c r="M480" s="1450">
        <v>48100</v>
      </c>
      <c r="N480" s="1449" t="s">
        <v>676</v>
      </c>
      <c r="O480" s="1449" t="s">
        <v>1788</v>
      </c>
      <c r="P480" s="1449" t="s">
        <v>1789</v>
      </c>
      <c r="Q480" s="1449" t="s">
        <v>1790</v>
      </c>
      <c r="R480" s="1449" t="s">
        <v>673</v>
      </c>
    </row>
    <row r="481" spans="2:18" ht="216.75">
      <c r="B481" s="1453"/>
      <c r="C481" s="1449">
        <v>13</v>
      </c>
      <c r="D481" s="2689" t="s">
        <v>1791</v>
      </c>
      <c r="E481" s="2712"/>
      <c r="F481" s="2712"/>
      <c r="G481" s="2712"/>
      <c r="H481" s="1449" t="s">
        <v>1093</v>
      </c>
      <c r="I481" s="2691">
        <v>320000</v>
      </c>
      <c r="J481" s="2713"/>
      <c r="K481" s="2713"/>
      <c r="L481" s="1450" t="s">
        <v>688</v>
      </c>
      <c r="M481" s="1450">
        <v>312000</v>
      </c>
      <c r="N481" s="1449" t="s">
        <v>1792</v>
      </c>
      <c r="O481" s="1449" t="s">
        <v>1793</v>
      </c>
      <c r="P481" s="1449" t="s">
        <v>1794</v>
      </c>
      <c r="Q481" s="1449" t="s">
        <v>1759</v>
      </c>
      <c r="R481" s="1449" t="s">
        <v>673</v>
      </c>
    </row>
    <row r="482" spans="2:18" ht="89.25">
      <c r="B482" s="1453"/>
      <c r="C482" s="1449">
        <v>14</v>
      </c>
      <c r="D482" s="2689" t="s">
        <v>1795</v>
      </c>
      <c r="E482" s="2712"/>
      <c r="F482" s="2712"/>
      <c r="G482" s="2712"/>
      <c r="H482" s="1449" t="s">
        <v>1167</v>
      </c>
      <c r="I482" s="2691">
        <v>100000</v>
      </c>
      <c r="J482" s="2713"/>
      <c r="K482" s="2713"/>
      <c r="L482" s="1450" t="s">
        <v>676</v>
      </c>
      <c r="M482" s="1450">
        <v>120000</v>
      </c>
      <c r="N482" s="1449" t="s">
        <v>676</v>
      </c>
      <c r="O482" s="1449" t="s">
        <v>1796</v>
      </c>
      <c r="P482" s="1449" t="s">
        <v>1797</v>
      </c>
      <c r="Q482" s="1449" t="s">
        <v>1798</v>
      </c>
      <c r="R482" s="1449" t="s">
        <v>673</v>
      </c>
    </row>
    <row r="483" spans="2:18" ht="216.75">
      <c r="B483" s="1453"/>
      <c r="C483" s="1449">
        <v>15</v>
      </c>
      <c r="D483" s="2689" t="s">
        <v>1799</v>
      </c>
      <c r="E483" s="2712"/>
      <c r="F483" s="2712"/>
      <c r="G483" s="2712"/>
      <c r="H483" s="1449" t="s">
        <v>1800</v>
      </c>
      <c r="I483" s="2691">
        <v>265000</v>
      </c>
      <c r="J483" s="2713"/>
      <c r="K483" s="2713"/>
      <c r="L483" s="1450" t="s">
        <v>688</v>
      </c>
      <c r="M483" s="1450">
        <v>248400</v>
      </c>
      <c r="N483" s="1449" t="s">
        <v>1801</v>
      </c>
      <c r="O483" s="1449" t="s">
        <v>1802</v>
      </c>
      <c r="P483" s="1449" t="s">
        <v>1803</v>
      </c>
      <c r="Q483" s="1449" t="s">
        <v>1804</v>
      </c>
      <c r="R483" s="1449" t="s">
        <v>673</v>
      </c>
    </row>
    <row r="484" spans="2:18" ht="89.25">
      <c r="B484" s="1453"/>
      <c r="C484" s="1449">
        <v>16</v>
      </c>
      <c r="D484" s="2689" t="s">
        <v>1805</v>
      </c>
      <c r="E484" s="2712"/>
      <c r="F484" s="2712"/>
      <c r="G484" s="2712"/>
      <c r="H484" s="1449" t="s">
        <v>1167</v>
      </c>
      <c r="I484" s="2691">
        <v>60750</v>
      </c>
      <c r="J484" s="2713"/>
      <c r="K484" s="2713"/>
      <c r="L484" s="1450" t="s">
        <v>676</v>
      </c>
      <c r="M484" s="1450">
        <v>60750</v>
      </c>
      <c r="N484" s="1449" t="s">
        <v>676</v>
      </c>
      <c r="O484" s="1449" t="s">
        <v>1806</v>
      </c>
      <c r="P484" s="1449" t="s">
        <v>1807</v>
      </c>
      <c r="Q484" s="1449" t="s">
        <v>1808</v>
      </c>
      <c r="R484" s="1449" t="s">
        <v>673</v>
      </c>
    </row>
    <row r="485" spans="2:18" ht="89.25">
      <c r="B485" s="1453"/>
      <c r="C485" s="1449">
        <v>17</v>
      </c>
      <c r="D485" s="2689" t="s">
        <v>1809</v>
      </c>
      <c r="E485" s="2712"/>
      <c r="F485" s="2712"/>
      <c r="G485" s="2712"/>
      <c r="H485" s="1449" t="s">
        <v>1167</v>
      </c>
      <c r="I485" s="2691">
        <v>81000</v>
      </c>
      <c r="J485" s="2713"/>
      <c r="K485" s="2713"/>
      <c r="L485" s="1450" t="s">
        <v>676</v>
      </c>
      <c r="M485" s="1450">
        <v>81000</v>
      </c>
      <c r="N485" s="1449" t="s">
        <v>676</v>
      </c>
      <c r="O485" s="1449" t="s">
        <v>1806</v>
      </c>
      <c r="P485" s="1449" t="s">
        <v>1807</v>
      </c>
      <c r="Q485" s="1449" t="s">
        <v>1810</v>
      </c>
      <c r="R485" s="1449" t="s">
        <v>673</v>
      </c>
    </row>
    <row r="486" spans="2:18" ht="14.25">
      <c r="B486" s="1421"/>
      <c r="C486" s="1432"/>
      <c r="D486" s="2710" t="s">
        <v>761</v>
      </c>
      <c r="E486" s="2710"/>
      <c r="F486" s="2710"/>
      <c r="G486" s="2710"/>
      <c r="H486" s="1432"/>
      <c r="I486" s="2711">
        <f>SUM(I469:I485)</f>
        <v>2195750</v>
      </c>
      <c r="J486" s="2711"/>
      <c r="K486" s="2711"/>
      <c r="L486" s="1521"/>
      <c r="M486" s="1521">
        <f>SUM(M469:M485)</f>
        <v>2229028</v>
      </c>
      <c r="N486" s="1522"/>
      <c r="O486" s="1432"/>
      <c r="P486" s="1432"/>
      <c r="Q486" s="1533"/>
      <c r="R486" s="1533"/>
    </row>
    <row r="487" spans="2:18" ht="15">
      <c r="B487" s="1419"/>
      <c r="C487" s="1419"/>
      <c r="D487" s="1419"/>
      <c r="E487" s="1419"/>
      <c r="F487" s="1419"/>
      <c r="G487" s="1419"/>
      <c r="H487" s="1419"/>
      <c r="I487" s="1416"/>
      <c r="J487" s="1416"/>
      <c r="K487" s="1416"/>
      <c r="L487" s="1416"/>
      <c r="M487" s="1416"/>
      <c r="N487" s="1419"/>
      <c r="O487" s="1437" t="s">
        <v>762</v>
      </c>
      <c r="P487" s="1419"/>
      <c r="Q487" s="1419"/>
      <c r="R487" s="1419"/>
    </row>
    <row r="488" spans="2:18" ht="15">
      <c r="B488" s="1419"/>
      <c r="C488" s="1419"/>
      <c r="D488" s="1419"/>
      <c r="E488" s="1419"/>
      <c r="F488" s="1419"/>
      <c r="G488" s="1419"/>
      <c r="H488" s="1419"/>
      <c r="I488" s="1416"/>
      <c r="J488" s="1416"/>
      <c r="K488" s="1416"/>
      <c r="L488" s="1416"/>
      <c r="M488" s="1416"/>
      <c r="N488" s="1419"/>
      <c r="O488" s="1437" t="s">
        <v>763</v>
      </c>
      <c r="P488" s="1419"/>
      <c r="Q488" s="1419"/>
      <c r="R488" s="1419"/>
    </row>
    <row r="489" spans="2:18" ht="23.25">
      <c r="B489" s="2593" t="s">
        <v>652</v>
      </c>
      <c r="C489" s="2593"/>
      <c r="D489" s="2593"/>
      <c r="E489" s="2593"/>
      <c r="F489" s="2593"/>
      <c r="G489" s="2593"/>
      <c r="H489" s="2593"/>
      <c r="I489" s="2593"/>
      <c r="J489" s="1416"/>
      <c r="K489" s="1416"/>
      <c r="L489" s="1416"/>
      <c r="M489" s="1416"/>
      <c r="N489" s="1419"/>
      <c r="O489" s="1419"/>
      <c r="P489" s="1419"/>
      <c r="Q489" s="1419"/>
      <c r="R489" s="1419"/>
    </row>
    <row r="490" spans="2:18" ht="14.25">
      <c r="B490" s="1419"/>
      <c r="C490" s="1419"/>
      <c r="D490" s="1419"/>
      <c r="E490" s="1419"/>
      <c r="F490" s="1419"/>
      <c r="G490" s="1419"/>
      <c r="H490" s="1419"/>
      <c r="I490" s="1416"/>
      <c r="J490" s="1416"/>
      <c r="K490" s="1416"/>
      <c r="L490" s="1416"/>
      <c r="M490" s="1416"/>
      <c r="N490" s="1419"/>
      <c r="O490" s="1419"/>
      <c r="P490" s="1419"/>
      <c r="Q490" s="1419"/>
      <c r="R490" s="1419"/>
    </row>
    <row r="491" spans="2:18" ht="15">
      <c r="B491" s="2595" t="s">
        <v>653</v>
      </c>
      <c r="C491" s="2595"/>
      <c r="D491" s="2595"/>
      <c r="E491" s="1419"/>
      <c r="F491" s="1422" t="s">
        <v>654</v>
      </c>
      <c r="G491" s="1419"/>
      <c r="H491" s="1419"/>
      <c r="I491" s="1416"/>
      <c r="J491" s="1416"/>
      <c r="K491" s="1416"/>
      <c r="L491" s="1416"/>
      <c r="M491" s="1416"/>
      <c r="N491" s="1419"/>
      <c r="O491" s="1419"/>
      <c r="P491" s="1419"/>
      <c r="Q491" s="1419"/>
      <c r="R491" s="1419"/>
    </row>
    <row r="492" spans="2:18" ht="14.25">
      <c r="B492" s="1419"/>
      <c r="C492" s="1419"/>
      <c r="D492" s="1419"/>
      <c r="E492" s="1419"/>
      <c r="F492" s="1419"/>
      <c r="G492" s="1419"/>
      <c r="H492" s="1419"/>
      <c r="I492" s="1416"/>
      <c r="J492" s="1416"/>
      <c r="K492" s="1416"/>
      <c r="L492" s="1416"/>
      <c r="M492" s="1416"/>
      <c r="N492" s="1419"/>
      <c r="O492" s="1419"/>
      <c r="P492" s="1419"/>
      <c r="Q492" s="1419"/>
      <c r="R492" s="1419"/>
    </row>
    <row r="493" spans="2:18" ht="15">
      <c r="B493" s="2595" t="s">
        <v>655</v>
      </c>
      <c r="C493" s="2595"/>
      <c r="D493" s="2595"/>
      <c r="E493" s="1419"/>
      <c r="F493" s="2597" t="s">
        <v>1811</v>
      </c>
      <c r="G493" s="2597"/>
      <c r="H493" s="2597"/>
      <c r="I493" s="2597"/>
      <c r="J493" s="2597"/>
      <c r="K493" s="1416"/>
      <c r="L493" s="1416"/>
      <c r="M493" s="1416"/>
      <c r="N493" s="1419"/>
      <c r="O493" s="1419"/>
      <c r="P493" s="1419"/>
      <c r="Q493" s="1419"/>
      <c r="R493" s="1419"/>
    </row>
    <row r="494" spans="2:18" ht="14.25">
      <c r="B494" s="1418"/>
      <c r="C494" s="1418"/>
      <c r="D494" s="1418"/>
      <c r="E494" s="1418"/>
      <c r="F494" s="1418"/>
      <c r="G494" s="1418"/>
      <c r="H494" s="1418"/>
      <c r="I494" s="1417"/>
      <c r="J494" s="1417"/>
      <c r="K494" s="1417"/>
      <c r="L494" s="1417"/>
      <c r="M494" s="1417"/>
      <c r="N494" s="1418"/>
      <c r="O494" s="1418"/>
      <c r="P494" s="1418"/>
      <c r="Q494" s="1418"/>
      <c r="R494" s="1418"/>
    </row>
    <row r="495" spans="2:18" ht="409.5">
      <c r="B495" s="1425"/>
      <c r="C495" s="1426" t="s">
        <v>657</v>
      </c>
      <c r="D495" s="2588" t="s">
        <v>587</v>
      </c>
      <c r="E495" s="2574"/>
      <c r="F495" s="2574"/>
      <c r="G495" s="2575"/>
      <c r="H495" s="1426" t="s">
        <v>658</v>
      </c>
      <c r="I495" s="2588" t="s">
        <v>659</v>
      </c>
      <c r="J495" s="2574"/>
      <c r="K495" s="2575"/>
      <c r="L495" s="1426" t="s">
        <v>660</v>
      </c>
      <c r="M495" s="1426" t="s">
        <v>661</v>
      </c>
      <c r="N495" s="1426" t="s">
        <v>662</v>
      </c>
      <c r="O495" s="1426" t="s">
        <v>663</v>
      </c>
      <c r="P495" s="1426" t="s">
        <v>664</v>
      </c>
      <c r="Q495" s="1426" t="s">
        <v>665</v>
      </c>
      <c r="R495" s="1426" t="s">
        <v>666</v>
      </c>
    </row>
    <row r="496" spans="2:18" ht="63.75">
      <c r="B496" s="1425"/>
      <c r="C496" s="1427">
        <v>1</v>
      </c>
      <c r="D496" s="2573" t="s">
        <v>1812</v>
      </c>
      <c r="E496" s="2574"/>
      <c r="F496" s="2574"/>
      <c r="G496" s="2575"/>
      <c r="H496" s="1427" t="s">
        <v>706</v>
      </c>
      <c r="I496" s="2576">
        <v>33333</v>
      </c>
      <c r="J496" s="2577"/>
      <c r="K496" s="2578"/>
      <c r="L496" s="1428" t="s">
        <v>676</v>
      </c>
      <c r="M496" s="1428">
        <v>33308</v>
      </c>
      <c r="N496" s="1427" t="s">
        <v>676</v>
      </c>
      <c r="O496" s="1427" t="s">
        <v>1594</v>
      </c>
      <c r="P496" s="1427" t="s">
        <v>1595</v>
      </c>
      <c r="Q496" s="1427" t="s">
        <v>1813</v>
      </c>
      <c r="R496" s="1427" t="s">
        <v>704</v>
      </c>
    </row>
    <row r="497" spans="2:19" ht="216.75">
      <c r="B497" s="1425"/>
      <c r="C497" s="1427">
        <v>2</v>
      </c>
      <c r="D497" s="2573" t="s">
        <v>1596</v>
      </c>
      <c r="E497" s="2574"/>
      <c r="F497" s="2574"/>
      <c r="G497" s="2575"/>
      <c r="H497" s="1427" t="s">
        <v>1434</v>
      </c>
      <c r="I497" s="2576">
        <v>666667</v>
      </c>
      <c r="J497" s="2577"/>
      <c r="K497" s="2578"/>
      <c r="L497" s="1428" t="s">
        <v>688</v>
      </c>
      <c r="M497" s="1428">
        <v>660000</v>
      </c>
      <c r="N497" s="1427" t="s">
        <v>1814</v>
      </c>
      <c r="O497" s="1427" t="s">
        <v>1341</v>
      </c>
      <c r="P497" s="1427" t="s">
        <v>1342</v>
      </c>
      <c r="Q497" s="1427" t="s">
        <v>1815</v>
      </c>
      <c r="R497" s="1427" t="s">
        <v>673</v>
      </c>
    </row>
    <row r="498" spans="2:19" ht="127.5">
      <c r="B498" s="1425"/>
      <c r="C498" s="1427">
        <v>3</v>
      </c>
      <c r="D498" s="2573" t="s">
        <v>1604</v>
      </c>
      <c r="E498" s="2574"/>
      <c r="F498" s="2574"/>
      <c r="G498" s="2575"/>
      <c r="H498" s="1427" t="s">
        <v>1816</v>
      </c>
      <c r="I498" s="2576">
        <v>33333</v>
      </c>
      <c r="J498" s="2577"/>
      <c r="K498" s="2578"/>
      <c r="L498" s="1428" t="s">
        <v>676</v>
      </c>
      <c r="M498" s="1428">
        <v>33208</v>
      </c>
      <c r="N498" s="1427" t="s">
        <v>676</v>
      </c>
      <c r="O498" s="1427" t="s">
        <v>1594</v>
      </c>
      <c r="P498" s="1427" t="s">
        <v>1595</v>
      </c>
      <c r="Q498" s="1427" t="s">
        <v>1817</v>
      </c>
      <c r="R498" s="1427" t="s">
        <v>704</v>
      </c>
    </row>
    <row r="499" spans="2:19" ht="216.75">
      <c r="B499" s="1425"/>
      <c r="C499" s="1427">
        <v>4</v>
      </c>
      <c r="D499" s="2573" t="s">
        <v>1818</v>
      </c>
      <c r="E499" s="2574"/>
      <c r="F499" s="2574"/>
      <c r="G499" s="2575"/>
      <c r="H499" s="1427" t="s">
        <v>796</v>
      </c>
      <c r="I499" s="2576">
        <v>291667</v>
      </c>
      <c r="J499" s="2577"/>
      <c r="K499" s="2578"/>
      <c r="L499" s="1428" t="s">
        <v>688</v>
      </c>
      <c r="M499" s="1428">
        <v>283000</v>
      </c>
      <c r="N499" s="1427" t="s">
        <v>1819</v>
      </c>
      <c r="O499" s="1427" t="s">
        <v>1613</v>
      </c>
      <c r="P499" s="1427" t="s">
        <v>1614</v>
      </c>
      <c r="Q499" s="1427" t="s">
        <v>1804</v>
      </c>
      <c r="R499" s="1427" t="s">
        <v>704</v>
      </c>
    </row>
    <row r="500" spans="2:19" ht="25.5">
      <c r="B500" s="1425"/>
      <c r="C500" s="1427">
        <v>5</v>
      </c>
      <c r="D500" s="2573" t="s">
        <v>1542</v>
      </c>
      <c r="E500" s="2574"/>
      <c r="F500" s="2574"/>
      <c r="G500" s="2575"/>
      <c r="H500" s="1427" t="s">
        <v>1106</v>
      </c>
      <c r="I500" s="2576">
        <v>58333</v>
      </c>
      <c r="J500" s="2577"/>
      <c r="K500" s="2578"/>
      <c r="L500" s="1428" t="s">
        <v>676</v>
      </c>
      <c r="M500" s="1428">
        <v>57633</v>
      </c>
      <c r="N500" s="1427" t="s">
        <v>676</v>
      </c>
      <c r="O500" s="1427" t="s">
        <v>1820</v>
      </c>
      <c r="P500" s="1427" t="s">
        <v>1821</v>
      </c>
      <c r="Q500" s="1427" t="s">
        <v>1822</v>
      </c>
      <c r="R500" s="1427" t="s">
        <v>704</v>
      </c>
    </row>
    <row r="501" spans="2:19" ht="216.75">
      <c r="B501" s="1425"/>
      <c r="C501" s="1427">
        <v>6</v>
      </c>
      <c r="D501" s="2573" t="s">
        <v>1823</v>
      </c>
      <c r="E501" s="2574"/>
      <c r="F501" s="2574"/>
      <c r="G501" s="2575"/>
      <c r="H501" s="1427" t="s">
        <v>711</v>
      </c>
      <c r="I501" s="2576">
        <v>166666</v>
      </c>
      <c r="J501" s="2577"/>
      <c r="K501" s="2578"/>
      <c r="L501" s="1428" t="s">
        <v>688</v>
      </c>
      <c r="M501" s="1428">
        <v>154300</v>
      </c>
      <c r="N501" s="1427" t="s">
        <v>1824</v>
      </c>
      <c r="O501" s="1427" t="s">
        <v>996</v>
      </c>
      <c r="P501" s="1427" t="s">
        <v>997</v>
      </c>
      <c r="Q501" s="1427" t="s">
        <v>1804</v>
      </c>
      <c r="R501" s="1427" t="s">
        <v>704</v>
      </c>
    </row>
    <row r="502" spans="2:19" ht="204">
      <c r="B502" s="1425"/>
      <c r="C502" s="1427">
        <v>7</v>
      </c>
      <c r="D502" s="2573" t="s">
        <v>1825</v>
      </c>
      <c r="E502" s="2574"/>
      <c r="F502" s="2574"/>
      <c r="G502" s="2575"/>
      <c r="H502" s="1427" t="s">
        <v>1826</v>
      </c>
      <c r="I502" s="2576">
        <v>83333</v>
      </c>
      <c r="J502" s="2577"/>
      <c r="K502" s="2578"/>
      <c r="L502" s="1428" t="s">
        <v>676</v>
      </c>
      <c r="M502" s="1428">
        <v>83250</v>
      </c>
      <c r="N502" s="1427" t="s">
        <v>676</v>
      </c>
      <c r="O502" s="1427" t="s">
        <v>1827</v>
      </c>
      <c r="P502" s="1427" t="s">
        <v>1828</v>
      </c>
      <c r="Q502" s="1427" t="s">
        <v>1829</v>
      </c>
      <c r="R502" s="1427" t="s">
        <v>673</v>
      </c>
    </row>
    <row r="503" spans="2:19" ht="165.75">
      <c r="B503" s="1425"/>
      <c r="C503" s="1427">
        <v>8</v>
      </c>
      <c r="D503" s="2573" t="s">
        <v>1830</v>
      </c>
      <c r="E503" s="2574"/>
      <c r="F503" s="2574"/>
      <c r="G503" s="2575"/>
      <c r="H503" s="1427" t="s">
        <v>1831</v>
      </c>
      <c r="I503" s="2576">
        <v>25000</v>
      </c>
      <c r="J503" s="2577"/>
      <c r="K503" s="2578"/>
      <c r="L503" s="1428"/>
      <c r="M503" s="1428">
        <v>24500</v>
      </c>
      <c r="N503" s="1427" t="s">
        <v>676</v>
      </c>
      <c r="O503" s="1427" t="s">
        <v>1832</v>
      </c>
      <c r="P503" s="1427" t="s">
        <v>1833</v>
      </c>
      <c r="Q503" s="1427" t="s">
        <v>1834</v>
      </c>
      <c r="R503" s="1427" t="s">
        <v>704</v>
      </c>
    </row>
    <row r="504" spans="2:19" ht="216.75">
      <c r="B504" s="1425"/>
      <c r="C504" s="1427">
        <v>9</v>
      </c>
      <c r="D504" s="2573" t="s">
        <v>1835</v>
      </c>
      <c r="E504" s="2574"/>
      <c r="F504" s="2574"/>
      <c r="G504" s="2575"/>
      <c r="H504" s="1427" t="s">
        <v>1836</v>
      </c>
      <c r="I504" s="2576">
        <v>333333</v>
      </c>
      <c r="J504" s="2577"/>
      <c r="K504" s="2578"/>
      <c r="L504" s="1428" t="s">
        <v>688</v>
      </c>
      <c r="M504" s="1428">
        <v>330000</v>
      </c>
      <c r="N504" s="1427" t="s">
        <v>1814</v>
      </c>
      <c r="O504" s="1427" t="s">
        <v>1837</v>
      </c>
      <c r="P504" s="1427" t="s">
        <v>1838</v>
      </c>
      <c r="Q504" s="1427" t="s">
        <v>905</v>
      </c>
      <c r="R504" s="1427" t="s">
        <v>704</v>
      </c>
    </row>
    <row r="505" spans="2:19" ht="102">
      <c r="B505" s="1425"/>
      <c r="C505" s="1427">
        <v>10</v>
      </c>
      <c r="D505" s="2573" t="s">
        <v>1636</v>
      </c>
      <c r="E505" s="2574"/>
      <c r="F505" s="2574"/>
      <c r="G505" s="2575"/>
      <c r="H505" s="1427" t="s">
        <v>1230</v>
      </c>
      <c r="I505" s="2576">
        <v>16667</v>
      </c>
      <c r="J505" s="2577"/>
      <c r="K505" s="2578"/>
      <c r="L505" s="1428" t="s">
        <v>676</v>
      </c>
      <c r="M505" s="1428">
        <v>16300</v>
      </c>
      <c r="N505" s="1427"/>
      <c r="O505" s="1427" t="s">
        <v>1637</v>
      </c>
      <c r="P505" s="1427" t="s">
        <v>1638</v>
      </c>
      <c r="Q505" s="1427" t="s">
        <v>1822</v>
      </c>
      <c r="R505" s="1427" t="s">
        <v>704</v>
      </c>
    </row>
    <row r="506" spans="2:19" ht="14.25">
      <c r="B506" s="1418"/>
      <c r="C506" s="1436"/>
      <c r="D506" s="2589" t="s">
        <v>761</v>
      </c>
      <c r="E506" s="2589"/>
      <c r="F506" s="2589"/>
      <c r="G506" s="2589"/>
      <c r="H506" s="1435"/>
      <c r="I506" s="2590">
        <f>SUM(I496:K505)</f>
        <v>1708332</v>
      </c>
      <c r="J506" s="2591"/>
      <c r="K506" s="2592"/>
      <c r="L506" s="1433"/>
      <c r="M506" s="1433">
        <f>SUM(M496:M505)</f>
        <v>1675499</v>
      </c>
      <c r="N506" s="1434"/>
      <c r="O506" s="1435"/>
      <c r="P506" s="1435"/>
      <c r="Q506" s="1435"/>
      <c r="R506" s="1436"/>
    </row>
    <row r="508" spans="2:19" ht="14.25">
      <c r="C508" s="1418"/>
      <c r="D508" s="1418"/>
      <c r="E508" s="1418"/>
      <c r="F508" s="1418"/>
      <c r="G508" s="1418"/>
      <c r="H508" s="1418"/>
      <c r="I508" s="1418"/>
      <c r="J508" s="1417"/>
      <c r="K508" s="1417"/>
      <c r="L508" s="1417"/>
      <c r="M508" s="1417"/>
      <c r="N508" s="1417"/>
      <c r="O508" s="1418"/>
      <c r="P508" s="1418"/>
      <c r="Q508" s="1418"/>
      <c r="R508" s="1418"/>
      <c r="S508" s="1418"/>
    </row>
    <row r="509" spans="2:19" ht="23.25">
      <c r="C509" s="2593" t="s">
        <v>652</v>
      </c>
      <c r="D509" s="2594"/>
      <c r="E509" s="2594"/>
      <c r="F509" s="2594"/>
      <c r="G509" s="2594"/>
      <c r="H509" s="2594"/>
      <c r="I509" s="2594"/>
      <c r="J509" s="2594"/>
      <c r="K509" s="1416"/>
      <c r="L509" s="1417"/>
      <c r="M509" s="1417"/>
      <c r="N509" s="1417"/>
      <c r="O509" s="1418"/>
      <c r="P509" s="1418"/>
      <c r="Q509" s="1418"/>
      <c r="R509" s="1418"/>
      <c r="S509" s="1418"/>
    </row>
    <row r="510" spans="2:19" ht="14.25">
      <c r="C510" s="1419"/>
      <c r="D510" s="1419"/>
      <c r="E510" s="1419"/>
      <c r="F510" s="1419"/>
      <c r="G510" s="1419"/>
      <c r="H510" s="1419"/>
      <c r="I510" s="1419"/>
      <c r="J510" s="1416"/>
      <c r="K510" s="1416"/>
      <c r="L510" s="1417"/>
      <c r="M510" s="1417"/>
      <c r="N510" s="1417"/>
      <c r="O510" s="1418"/>
      <c r="P510" s="1418"/>
      <c r="Q510" s="1418"/>
      <c r="R510" s="1418"/>
      <c r="S510" s="1418"/>
    </row>
    <row r="511" spans="2:19" ht="14.25">
      <c r="C511" s="2595" t="s">
        <v>653</v>
      </c>
      <c r="D511" s="2596"/>
      <c r="E511" s="2596"/>
      <c r="F511" s="1419"/>
      <c r="G511" s="1422" t="s">
        <v>654</v>
      </c>
      <c r="H511" s="1419"/>
      <c r="I511" s="1419"/>
      <c r="J511" s="1416"/>
      <c r="K511" s="1416"/>
      <c r="L511" s="1417"/>
      <c r="M511" s="1417"/>
      <c r="N511" s="1417"/>
      <c r="O511" s="1418"/>
      <c r="P511" s="1418"/>
      <c r="Q511" s="1418"/>
      <c r="R511" s="1418"/>
      <c r="S511" s="1418"/>
    </row>
    <row r="512" spans="2:19" ht="14.25">
      <c r="C512" s="1419"/>
      <c r="D512" s="1419"/>
      <c r="E512" s="1419"/>
      <c r="F512" s="1419"/>
      <c r="G512" s="1419"/>
      <c r="H512" s="1419"/>
      <c r="I512" s="1419"/>
      <c r="J512" s="1416"/>
      <c r="K512" s="1416"/>
      <c r="L512" s="1417"/>
      <c r="M512" s="1417"/>
      <c r="N512" s="1417"/>
      <c r="O512" s="1418"/>
      <c r="P512" s="1418"/>
      <c r="Q512" s="1418"/>
      <c r="R512" s="1418"/>
      <c r="S512" s="1418"/>
    </row>
    <row r="513" spans="3:19" ht="14.25">
      <c r="C513" s="2595" t="s">
        <v>655</v>
      </c>
      <c r="D513" s="2596"/>
      <c r="E513" s="2596"/>
      <c r="F513" s="1419"/>
      <c r="G513" s="2597" t="s">
        <v>1839</v>
      </c>
      <c r="H513" s="2596"/>
      <c r="I513" s="2596"/>
      <c r="J513" s="2596"/>
      <c r="K513" s="2596"/>
      <c r="L513" s="1417"/>
      <c r="M513" s="1417"/>
      <c r="N513" s="1417"/>
      <c r="O513" s="1418"/>
      <c r="P513" s="1418"/>
      <c r="Q513" s="1418"/>
      <c r="R513" s="1418"/>
      <c r="S513" s="1418"/>
    </row>
    <row r="514" spans="3:19" ht="14.25">
      <c r="C514" s="1418"/>
      <c r="D514" s="1418"/>
      <c r="E514" s="1418"/>
      <c r="F514" s="1418"/>
      <c r="G514" s="1418"/>
      <c r="H514" s="1418"/>
      <c r="I514" s="1418"/>
      <c r="J514" s="1417"/>
      <c r="K514" s="1417"/>
      <c r="L514" s="1417"/>
      <c r="M514" s="1417"/>
      <c r="N514" s="1417"/>
      <c r="O514" s="1418"/>
      <c r="P514" s="1418"/>
      <c r="Q514" s="1418"/>
      <c r="R514" s="1418"/>
      <c r="S514" s="1418"/>
    </row>
    <row r="515" spans="3:19" ht="191.25">
      <c r="C515" s="1425"/>
      <c r="D515" s="1426" t="s">
        <v>657</v>
      </c>
      <c r="E515" s="2588" t="s">
        <v>587</v>
      </c>
      <c r="F515" s="2574"/>
      <c r="G515" s="2574"/>
      <c r="H515" s="2575"/>
      <c r="I515" s="1426" t="s">
        <v>658</v>
      </c>
      <c r="J515" s="2588" t="s">
        <v>659</v>
      </c>
      <c r="K515" s="2574"/>
      <c r="L515" s="2575"/>
      <c r="M515" s="1426" t="s">
        <v>660</v>
      </c>
      <c r="N515" s="1426" t="s">
        <v>661</v>
      </c>
      <c r="O515" s="1426" t="s">
        <v>662</v>
      </c>
      <c r="P515" s="1426" t="s">
        <v>663</v>
      </c>
      <c r="Q515" s="1426" t="s">
        <v>664</v>
      </c>
      <c r="R515" s="1426" t="s">
        <v>665</v>
      </c>
      <c r="S515" s="1426" t="s">
        <v>666</v>
      </c>
    </row>
    <row r="516" spans="3:19" ht="51">
      <c r="C516" s="1425"/>
      <c r="D516" s="1427">
        <v>1</v>
      </c>
      <c r="E516" s="2693" t="s">
        <v>1840</v>
      </c>
      <c r="F516" s="2708"/>
      <c r="G516" s="2708"/>
      <c r="H516" s="2709"/>
      <c r="I516" s="1427" t="s">
        <v>749</v>
      </c>
      <c r="J516" s="2576">
        <v>97800</v>
      </c>
      <c r="K516" s="2577"/>
      <c r="L516" s="2578"/>
      <c r="M516" s="1428" t="s">
        <v>676</v>
      </c>
      <c r="N516" s="1428">
        <v>97800</v>
      </c>
      <c r="O516" s="1427" t="s">
        <v>676</v>
      </c>
      <c r="P516" s="1427" t="s">
        <v>750</v>
      </c>
      <c r="Q516" s="1427" t="s">
        <v>751</v>
      </c>
      <c r="R516" s="1427" t="s">
        <v>1841</v>
      </c>
      <c r="S516" s="1427" t="s">
        <v>673</v>
      </c>
    </row>
    <row r="517" spans="3:19" ht="51">
      <c r="C517" s="1425"/>
      <c r="D517" s="1427">
        <v>2</v>
      </c>
      <c r="E517" s="2693" t="s">
        <v>1842</v>
      </c>
      <c r="F517" s="2708"/>
      <c r="G517" s="2708"/>
      <c r="H517" s="2709"/>
      <c r="I517" s="1427" t="s">
        <v>687</v>
      </c>
      <c r="J517" s="2576">
        <v>100000</v>
      </c>
      <c r="K517" s="2577"/>
      <c r="L517" s="2578"/>
      <c r="M517" s="1428" t="s">
        <v>676</v>
      </c>
      <c r="N517" s="1428">
        <v>100000</v>
      </c>
      <c r="O517" s="1427" t="s">
        <v>676</v>
      </c>
      <c r="P517" s="1427" t="s">
        <v>1367</v>
      </c>
      <c r="Q517" s="1427" t="s">
        <v>1368</v>
      </c>
      <c r="R517" s="1427" t="s">
        <v>1843</v>
      </c>
      <c r="S517" s="1427" t="s">
        <v>673</v>
      </c>
    </row>
    <row r="518" spans="3:19" ht="38.25">
      <c r="C518" s="1425"/>
      <c r="D518" s="1427">
        <v>3</v>
      </c>
      <c r="E518" s="2693" t="s">
        <v>1844</v>
      </c>
      <c r="F518" s="2708"/>
      <c r="G518" s="2708"/>
      <c r="H518" s="2709"/>
      <c r="I518" s="1427" t="s">
        <v>699</v>
      </c>
      <c r="J518" s="2576">
        <v>400000</v>
      </c>
      <c r="K518" s="2577"/>
      <c r="L518" s="2578"/>
      <c r="M518" s="1428" t="s">
        <v>688</v>
      </c>
      <c r="N518" s="1428">
        <v>143000</v>
      </c>
      <c r="O518" s="1427" t="s">
        <v>1845</v>
      </c>
      <c r="P518" s="1427" t="s">
        <v>1846</v>
      </c>
      <c r="Q518" s="1427" t="s">
        <v>1847</v>
      </c>
      <c r="R518" s="1427" t="s">
        <v>1848</v>
      </c>
      <c r="S518" s="1427" t="s">
        <v>673</v>
      </c>
    </row>
    <row r="519" spans="3:19" ht="63.75">
      <c r="C519" s="1425"/>
      <c r="D519" s="1427">
        <v>4</v>
      </c>
      <c r="E519" s="2693" t="s">
        <v>1849</v>
      </c>
      <c r="F519" s="2708"/>
      <c r="G519" s="2708"/>
      <c r="H519" s="2709"/>
      <c r="I519" s="1427" t="s">
        <v>1119</v>
      </c>
      <c r="J519" s="2576">
        <v>98540</v>
      </c>
      <c r="K519" s="2577"/>
      <c r="L519" s="2578"/>
      <c r="M519" s="1428" t="s">
        <v>676</v>
      </c>
      <c r="N519" s="1428">
        <v>98300</v>
      </c>
      <c r="O519" s="1427" t="s">
        <v>676</v>
      </c>
      <c r="P519" s="1427" t="s">
        <v>1058</v>
      </c>
      <c r="Q519" s="1427" t="s">
        <v>1059</v>
      </c>
      <c r="R519" s="1427" t="s">
        <v>1850</v>
      </c>
      <c r="S519" s="1427" t="s">
        <v>673</v>
      </c>
    </row>
    <row r="520" spans="3:19" ht="63.75">
      <c r="C520" s="1425"/>
      <c r="D520" s="1427">
        <v>5</v>
      </c>
      <c r="E520" s="2693" t="s">
        <v>1851</v>
      </c>
      <c r="F520" s="2708"/>
      <c r="G520" s="2708"/>
      <c r="H520" s="2709"/>
      <c r="I520" s="1427" t="s">
        <v>1119</v>
      </c>
      <c r="J520" s="2576">
        <v>56500</v>
      </c>
      <c r="K520" s="2577"/>
      <c r="L520" s="2578"/>
      <c r="M520" s="1428" t="s">
        <v>676</v>
      </c>
      <c r="N520" s="1428">
        <v>56500</v>
      </c>
      <c r="O520" s="1427" t="s">
        <v>676</v>
      </c>
      <c r="P520" s="1427" t="s">
        <v>1088</v>
      </c>
      <c r="Q520" s="1427" t="s">
        <v>1089</v>
      </c>
      <c r="R520" s="1427" t="s">
        <v>1852</v>
      </c>
      <c r="S520" s="1427" t="s">
        <v>673</v>
      </c>
    </row>
    <row r="521" spans="3:19" ht="51">
      <c r="C521" s="1425"/>
      <c r="D521" s="1427">
        <v>6</v>
      </c>
      <c r="E521" s="2693" t="s">
        <v>1853</v>
      </c>
      <c r="F521" s="2708"/>
      <c r="G521" s="2708"/>
      <c r="H521" s="2709"/>
      <c r="I521" s="1427" t="s">
        <v>1093</v>
      </c>
      <c r="J521" s="2576">
        <v>283300</v>
      </c>
      <c r="K521" s="2577"/>
      <c r="L521" s="2578"/>
      <c r="M521" s="1428" t="s">
        <v>688</v>
      </c>
      <c r="N521" s="1428">
        <v>278000</v>
      </c>
      <c r="O521" s="1427" t="s">
        <v>1854</v>
      </c>
      <c r="P521" s="1427" t="s">
        <v>1855</v>
      </c>
      <c r="Q521" s="1427" t="s">
        <v>1856</v>
      </c>
      <c r="R521" s="1427" t="s">
        <v>1857</v>
      </c>
      <c r="S521" s="1427" t="s">
        <v>673</v>
      </c>
    </row>
    <row r="522" spans="3:19" ht="25.5">
      <c r="C522" s="1425"/>
      <c r="D522" s="1427">
        <v>7</v>
      </c>
      <c r="E522" s="2693" t="s">
        <v>1858</v>
      </c>
      <c r="F522" s="2708"/>
      <c r="G522" s="2708"/>
      <c r="H522" s="2709"/>
      <c r="I522" s="1427" t="s">
        <v>1859</v>
      </c>
      <c r="J522" s="2576">
        <v>41600</v>
      </c>
      <c r="K522" s="2577"/>
      <c r="L522" s="2578"/>
      <c r="M522" s="1428" t="s">
        <v>688</v>
      </c>
      <c r="N522" s="1428">
        <v>41000</v>
      </c>
      <c r="O522" s="1427" t="s">
        <v>1078</v>
      </c>
      <c r="P522" s="1427" t="s">
        <v>1855</v>
      </c>
      <c r="Q522" s="1427" t="s">
        <v>1856</v>
      </c>
      <c r="R522" s="1427" t="s">
        <v>1860</v>
      </c>
      <c r="S522" s="1427" t="s">
        <v>673</v>
      </c>
    </row>
    <row r="523" spans="3:19" ht="114.75">
      <c r="C523" s="1425"/>
      <c r="D523" s="1427">
        <v>8</v>
      </c>
      <c r="E523" s="2693" t="s">
        <v>1861</v>
      </c>
      <c r="F523" s="2708"/>
      <c r="G523" s="2708"/>
      <c r="H523" s="2709"/>
      <c r="I523" s="1427" t="s">
        <v>1862</v>
      </c>
      <c r="J523" s="2576">
        <v>220625</v>
      </c>
      <c r="K523" s="2577"/>
      <c r="L523" s="2578"/>
      <c r="M523" s="1428" t="s">
        <v>688</v>
      </c>
      <c r="N523" s="1428">
        <v>179500</v>
      </c>
      <c r="O523" s="1427" t="s">
        <v>1863</v>
      </c>
      <c r="P523" s="1427" t="s">
        <v>1088</v>
      </c>
      <c r="Q523" s="1427" t="s">
        <v>1089</v>
      </c>
      <c r="R523" s="1427" t="s">
        <v>1864</v>
      </c>
      <c r="S523" s="1427" t="s">
        <v>673</v>
      </c>
    </row>
    <row r="524" spans="3:19" ht="63.75">
      <c r="C524" s="1425"/>
      <c r="D524" s="1427">
        <v>9</v>
      </c>
      <c r="E524" s="2693" t="s">
        <v>1865</v>
      </c>
      <c r="F524" s="2708"/>
      <c r="G524" s="2708"/>
      <c r="H524" s="2709"/>
      <c r="I524" s="1427" t="s">
        <v>727</v>
      </c>
      <c r="J524" s="2576">
        <v>85650</v>
      </c>
      <c r="K524" s="2577"/>
      <c r="L524" s="2578"/>
      <c r="M524" s="1428" t="s">
        <v>676</v>
      </c>
      <c r="N524" s="1428">
        <v>85000</v>
      </c>
      <c r="O524" s="1427" t="s">
        <v>676</v>
      </c>
      <c r="P524" s="1427" t="s">
        <v>1866</v>
      </c>
      <c r="Q524" s="1427" t="s">
        <v>1867</v>
      </c>
      <c r="R524" s="1427" t="s">
        <v>1868</v>
      </c>
      <c r="S524" s="1427" t="s">
        <v>673</v>
      </c>
    </row>
    <row r="525" spans="3:19" ht="165.75">
      <c r="C525" s="1425"/>
      <c r="D525" s="1427">
        <v>10</v>
      </c>
      <c r="E525" s="2693" t="s">
        <v>1869</v>
      </c>
      <c r="F525" s="2708"/>
      <c r="G525" s="2708"/>
      <c r="H525" s="2709"/>
      <c r="I525" s="1427" t="s">
        <v>787</v>
      </c>
      <c r="J525" s="2576">
        <v>583333</v>
      </c>
      <c r="K525" s="2577"/>
      <c r="L525" s="2578"/>
      <c r="M525" s="1428" t="s">
        <v>688</v>
      </c>
      <c r="N525" s="1428">
        <v>232400</v>
      </c>
      <c r="O525" s="1427" t="s">
        <v>1870</v>
      </c>
      <c r="P525" s="1427" t="s">
        <v>1871</v>
      </c>
      <c r="Q525" s="1427" t="s">
        <v>1872</v>
      </c>
      <c r="R525" s="1427" t="s">
        <v>1873</v>
      </c>
      <c r="S525" s="1427" t="s">
        <v>673</v>
      </c>
    </row>
    <row r="526" spans="3:19" ht="51">
      <c r="C526" s="1425"/>
      <c r="D526" s="1427">
        <v>11</v>
      </c>
      <c r="E526" s="2693" t="s">
        <v>1874</v>
      </c>
      <c r="F526" s="2708"/>
      <c r="G526" s="2708"/>
      <c r="H526" s="2709"/>
      <c r="I526" s="1427" t="s">
        <v>1093</v>
      </c>
      <c r="J526" s="2576">
        <v>60000</v>
      </c>
      <c r="K526" s="2577"/>
      <c r="L526" s="2578"/>
      <c r="M526" s="1428" t="s">
        <v>676</v>
      </c>
      <c r="N526" s="1428">
        <v>29580</v>
      </c>
      <c r="O526" s="1427" t="s">
        <v>676</v>
      </c>
      <c r="P526" s="1427" t="s">
        <v>1875</v>
      </c>
      <c r="Q526" s="1427" t="s">
        <v>1876</v>
      </c>
      <c r="R526" s="1427" t="s">
        <v>1877</v>
      </c>
      <c r="S526" s="1427" t="s">
        <v>673</v>
      </c>
    </row>
    <row r="527" spans="3:19" ht="140.25">
      <c r="C527" s="1425"/>
      <c r="D527" s="1427">
        <v>12</v>
      </c>
      <c r="E527" s="2693" t="s">
        <v>1518</v>
      </c>
      <c r="F527" s="2708"/>
      <c r="G527" s="2708"/>
      <c r="H527" s="2709"/>
      <c r="I527" s="1427" t="s">
        <v>1617</v>
      </c>
      <c r="J527" s="2576">
        <v>400000</v>
      </c>
      <c r="K527" s="2577"/>
      <c r="L527" s="2578"/>
      <c r="M527" s="1428" t="s">
        <v>688</v>
      </c>
      <c r="N527" s="1428">
        <v>188000</v>
      </c>
      <c r="O527" s="1427" t="s">
        <v>1878</v>
      </c>
      <c r="P527" s="1427" t="s">
        <v>1483</v>
      </c>
      <c r="Q527" s="1427" t="s">
        <v>1484</v>
      </c>
      <c r="R527" s="1427" t="s">
        <v>1879</v>
      </c>
      <c r="S527" s="1427" t="s">
        <v>673</v>
      </c>
    </row>
    <row r="528" spans="3:19">
      <c r="C528" s="1451"/>
      <c r="D528" s="1436"/>
      <c r="E528" s="2589" t="s">
        <v>761</v>
      </c>
      <c r="F528" s="2589"/>
      <c r="G528" s="2589"/>
      <c r="H528" s="2589"/>
      <c r="I528" s="1435"/>
      <c r="J528" s="2590">
        <f>SUM(J516:L527)</f>
        <v>2427348</v>
      </c>
      <c r="K528" s="2591"/>
      <c r="L528" s="2592"/>
      <c r="M528" s="1433"/>
      <c r="N528" s="1433">
        <f>SUM(N516:N527)</f>
        <v>1529080</v>
      </c>
      <c r="O528" s="1434"/>
      <c r="P528" s="1435"/>
      <c r="Q528" s="1436"/>
      <c r="R528" s="1436"/>
      <c r="S528" s="1436"/>
    </row>
    <row r="529" spans="3:19" ht="15">
      <c r="C529" s="1418"/>
      <c r="D529" s="1418"/>
      <c r="E529" s="1419"/>
      <c r="F529" s="1419"/>
      <c r="G529" s="1419"/>
      <c r="H529" s="1419"/>
      <c r="I529" s="1419"/>
      <c r="J529" s="1416"/>
      <c r="K529" s="1416"/>
      <c r="L529" s="1416"/>
      <c r="M529" s="1416"/>
      <c r="N529" s="1416"/>
      <c r="O529" s="1419"/>
      <c r="P529" s="1437" t="s">
        <v>762</v>
      </c>
      <c r="Q529" s="1418"/>
      <c r="R529" s="1418"/>
      <c r="S529" s="1418"/>
    </row>
    <row r="530" spans="3:19" ht="15">
      <c r="C530" s="1418"/>
      <c r="D530" s="1418"/>
      <c r="E530" s="1419"/>
      <c r="F530" s="1419"/>
      <c r="G530" s="1419"/>
      <c r="H530" s="1419"/>
      <c r="I530" s="1419"/>
      <c r="J530" s="1416"/>
      <c r="K530" s="1416"/>
      <c r="L530" s="1416"/>
      <c r="M530" s="1416"/>
      <c r="N530" s="1416"/>
      <c r="O530" s="1419"/>
      <c r="P530" s="1437" t="s">
        <v>763</v>
      </c>
      <c r="Q530" s="1418"/>
      <c r="R530" s="1418"/>
      <c r="S530" s="1418"/>
    </row>
    <row r="531" spans="3:19" ht="14.25">
      <c r="C531" s="1418"/>
      <c r="D531" s="1418"/>
      <c r="E531" s="1418"/>
      <c r="F531" s="1418"/>
      <c r="G531" s="1418"/>
      <c r="H531" s="1418"/>
      <c r="I531" s="1418"/>
      <c r="J531" s="1417"/>
      <c r="K531" s="1417"/>
      <c r="L531" s="1417"/>
      <c r="M531" s="1417"/>
      <c r="N531" s="1417"/>
      <c r="O531" s="1418"/>
      <c r="P531" s="1418"/>
      <c r="Q531" s="1418"/>
      <c r="R531" s="1418"/>
      <c r="S531" s="1418"/>
    </row>
    <row r="532" spans="3:19" ht="23.25">
      <c r="C532" s="2593" t="s">
        <v>652</v>
      </c>
      <c r="D532" s="2594"/>
      <c r="E532" s="2594"/>
      <c r="F532" s="2594"/>
      <c r="G532" s="2594"/>
      <c r="H532" s="2594"/>
      <c r="I532" s="2594"/>
      <c r="J532" s="2594"/>
      <c r="K532" s="1416"/>
      <c r="L532" s="1417"/>
      <c r="M532" s="1417"/>
      <c r="N532" s="1417"/>
      <c r="O532" s="1418"/>
      <c r="P532" s="1418"/>
      <c r="Q532" s="1418"/>
      <c r="R532" s="1418"/>
      <c r="S532" s="1418"/>
    </row>
    <row r="533" spans="3:19" ht="14.25">
      <c r="C533" s="1419"/>
      <c r="D533" s="1419"/>
      <c r="E533" s="1419"/>
      <c r="F533" s="1419"/>
      <c r="G533" s="1419"/>
      <c r="H533" s="1419"/>
      <c r="I533" s="1419"/>
      <c r="J533" s="1416"/>
      <c r="K533" s="1416"/>
      <c r="L533" s="1417"/>
      <c r="M533" s="1417"/>
      <c r="N533" s="1417"/>
      <c r="O533" s="1418"/>
      <c r="P533" s="1418"/>
      <c r="Q533" s="1418"/>
      <c r="R533" s="1418"/>
      <c r="S533" s="1418"/>
    </row>
    <row r="534" spans="3:19" ht="14.25">
      <c r="C534" s="2595" t="s">
        <v>653</v>
      </c>
      <c r="D534" s="2596"/>
      <c r="E534" s="2596"/>
      <c r="F534" s="1419"/>
      <c r="G534" s="1422" t="s">
        <v>654</v>
      </c>
      <c r="H534" s="1419"/>
      <c r="I534" s="1419"/>
      <c r="J534" s="1416"/>
      <c r="K534" s="1416"/>
      <c r="L534" s="1417"/>
      <c r="M534" s="1417"/>
      <c r="N534" s="1417"/>
      <c r="O534" s="1418"/>
      <c r="P534" s="1418"/>
      <c r="Q534" s="1418"/>
      <c r="R534" s="1418"/>
      <c r="S534" s="1418"/>
    </row>
    <row r="535" spans="3:19" ht="14.25">
      <c r="C535" s="1419"/>
      <c r="D535" s="1419"/>
      <c r="E535" s="1419"/>
      <c r="F535" s="1419"/>
      <c r="G535" s="1419"/>
      <c r="H535" s="1419"/>
      <c r="I535" s="1419"/>
      <c r="J535" s="1416"/>
      <c r="K535" s="1416"/>
      <c r="L535" s="1417"/>
      <c r="M535" s="1417"/>
      <c r="N535" s="1417"/>
      <c r="O535" s="1418"/>
      <c r="P535" s="1418"/>
      <c r="Q535" s="1418"/>
      <c r="R535" s="1418"/>
      <c r="S535" s="1418"/>
    </row>
    <row r="536" spans="3:19" ht="14.25">
      <c r="C536" s="2595" t="s">
        <v>655</v>
      </c>
      <c r="D536" s="2596"/>
      <c r="E536" s="2596"/>
      <c r="F536" s="1419"/>
      <c r="G536" s="2597" t="s">
        <v>1880</v>
      </c>
      <c r="H536" s="2596"/>
      <c r="I536" s="2596"/>
      <c r="J536" s="2596"/>
      <c r="K536" s="2596"/>
      <c r="L536" s="1417"/>
      <c r="M536" s="1417"/>
      <c r="N536" s="1417"/>
      <c r="O536" s="1418"/>
      <c r="P536" s="1418"/>
      <c r="Q536" s="1418"/>
      <c r="R536" s="1418"/>
      <c r="S536" s="1418"/>
    </row>
    <row r="537" spans="3:19" ht="14.25">
      <c r="C537" s="1418"/>
      <c r="D537" s="1418"/>
      <c r="E537" s="1418"/>
      <c r="F537" s="1418"/>
      <c r="G537" s="1418"/>
      <c r="H537" s="1418"/>
      <c r="I537" s="1418"/>
      <c r="J537" s="1417"/>
      <c r="K537" s="1417"/>
      <c r="L537" s="1417"/>
      <c r="M537" s="1417"/>
      <c r="N537" s="1417"/>
      <c r="O537" s="1418"/>
      <c r="P537" s="1418"/>
      <c r="Q537" s="1418"/>
      <c r="R537" s="1418"/>
      <c r="S537" s="1418"/>
    </row>
    <row r="538" spans="3:19" ht="191.25">
      <c r="C538" s="1425"/>
      <c r="D538" s="1426" t="s">
        <v>657</v>
      </c>
      <c r="E538" s="2588" t="s">
        <v>587</v>
      </c>
      <c r="F538" s="2639"/>
      <c r="G538" s="2639"/>
      <c r="H538" s="2640"/>
      <c r="I538" s="1426" t="s">
        <v>658</v>
      </c>
      <c r="J538" s="2588" t="s">
        <v>659</v>
      </c>
      <c r="K538" s="2639"/>
      <c r="L538" s="2640"/>
      <c r="M538" s="1426" t="s">
        <v>660</v>
      </c>
      <c r="N538" s="1426" t="s">
        <v>661</v>
      </c>
      <c r="O538" s="1426" t="s">
        <v>662</v>
      </c>
      <c r="P538" s="1426" t="s">
        <v>663</v>
      </c>
      <c r="Q538" s="1426" t="s">
        <v>664</v>
      </c>
      <c r="R538" s="1426" t="s">
        <v>765</v>
      </c>
      <c r="S538" s="1426" t="s">
        <v>766</v>
      </c>
    </row>
    <row r="539" spans="3:19" ht="51">
      <c r="C539" s="1425"/>
      <c r="D539" s="1427">
        <v>1</v>
      </c>
      <c r="E539" s="2573" t="s">
        <v>1881</v>
      </c>
      <c r="F539" s="2639"/>
      <c r="G539" s="2639"/>
      <c r="H539" s="2640"/>
      <c r="I539" s="1427" t="s">
        <v>1882</v>
      </c>
      <c r="J539" s="2576">
        <v>400000</v>
      </c>
      <c r="K539" s="2636"/>
      <c r="L539" s="2637"/>
      <c r="M539" s="1428" t="s">
        <v>1883</v>
      </c>
      <c r="N539" s="1428">
        <v>185000</v>
      </c>
      <c r="O539" s="1427" t="s">
        <v>1884</v>
      </c>
      <c r="P539" s="1427" t="s">
        <v>1885</v>
      </c>
      <c r="Q539" s="1427" t="s">
        <v>1886</v>
      </c>
      <c r="R539" s="1427" t="s">
        <v>1887</v>
      </c>
      <c r="S539" s="1427" t="s">
        <v>704</v>
      </c>
    </row>
    <row r="540" spans="3:19" ht="178.5">
      <c r="C540" s="1425"/>
      <c r="D540" s="1427">
        <v>2</v>
      </c>
      <c r="E540" s="2573" t="s">
        <v>1888</v>
      </c>
      <c r="F540" s="2639"/>
      <c r="G540" s="2639"/>
      <c r="H540" s="2640"/>
      <c r="I540" s="1427" t="s">
        <v>1889</v>
      </c>
      <c r="J540" s="2576">
        <v>130000</v>
      </c>
      <c r="K540" s="2636"/>
      <c r="L540" s="2637"/>
      <c r="M540" s="1428" t="s">
        <v>688</v>
      </c>
      <c r="N540" s="1428">
        <v>117250</v>
      </c>
      <c r="O540" s="1427" t="s">
        <v>1890</v>
      </c>
      <c r="P540" s="1427" t="s">
        <v>1846</v>
      </c>
      <c r="Q540" s="1427" t="s">
        <v>1847</v>
      </c>
      <c r="R540" s="1427" t="s">
        <v>1891</v>
      </c>
      <c r="S540" s="1427" t="s">
        <v>704</v>
      </c>
    </row>
    <row r="541" spans="3:19" ht="178.5">
      <c r="C541" s="1425"/>
      <c r="D541" s="1427">
        <v>3</v>
      </c>
      <c r="E541" s="2573" t="s">
        <v>1892</v>
      </c>
      <c r="F541" s="2639"/>
      <c r="G541" s="2639"/>
      <c r="H541" s="2640"/>
      <c r="I541" s="1427" t="s">
        <v>1889</v>
      </c>
      <c r="J541" s="2576">
        <v>250000</v>
      </c>
      <c r="K541" s="2636"/>
      <c r="L541" s="2637"/>
      <c r="M541" s="1428" t="s">
        <v>688</v>
      </c>
      <c r="N541" s="1428">
        <v>195000</v>
      </c>
      <c r="O541" s="1427" t="s">
        <v>1893</v>
      </c>
      <c r="P541" s="1427" t="s">
        <v>1300</v>
      </c>
      <c r="Q541" s="1427" t="s">
        <v>1301</v>
      </c>
      <c r="R541" s="1427" t="s">
        <v>1894</v>
      </c>
      <c r="S541" s="1427" t="s">
        <v>673</v>
      </c>
    </row>
    <row r="542" spans="3:19" ht="38.25">
      <c r="C542" s="1425"/>
      <c r="D542" s="1427">
        <v>4</v>
      </c>
      <c r="E542" s="2573" t="s">
        <v>1895</v>
      </c>
      <c r="F542" s="2639"/>
      <c r="G542" s="2639"/>
      <c r="H542" s="2640"/>
      <c r="I542" s="1427" t="s">
        <v>1896</v>
      </c>
      <c r="J542" s="2576">
        <v>60000</v>
      </c>
      <c r="K542" s="2636"/>
      <c r="L542" s="2637"/>
      <c r="M542" s="1428" t="s">
        <v>676</v>
      </c>
      <c r="N542" s="1428">
        <v>59500</v>
      </c>
      <c r="O542" s="1427" t="s">
        <v>676</v>
      </c>
      <c r="P542" s="1427" t="s">
        <v>1208</v>
      </c>
      <c r="Q542" s="1427" t="s">
        <v>1209</v>
      </c>
      <c r="R542" s="1427" t="s">
        <v>1897</v>
      </c>
      <c r="S542" s="1427" t="s">
        <v>704</v>
      </c>
    </row>
    <row r="543" spans="3:19" ht="38.25">
      <c r="C543" s="1425"/>
      <c r="D543" s="1427">
        <v>5</v>
      </c>
      <c r="E543" s="2573" t="s">
        <v>1211</v>
      </c>
      <c r="F543" s="2639"/>
      <c r="G543" s="2639"/>
      <c r="H543" s="2640"/>
      <c r="I543" s="1427" t="s">
        <v>1898</v>
      </c>
      <c r="J543" s="2576">
        <v>100000</v>
      </c>
      <c r="K543" s="2636"/>
      <c r="L543" s="2637"/>
      <c r="M543" s="1428" t="s">
        <v>676</v>
      </c>
      <c r="N543" s="1428">
        <v>99721</v>
      </c>
      <c r="O543" s="1427" t="s">
        <v>676</v>
      </c>
      <c r="P543" s="1427" t="s">
        <v>1524</v>
      </c>
      <c r="Q543" s="1427" t="s">
        <v>1525</v>
      </c>
      <c r="R543" s="1427" t="s">
        <v>1899</v>
      </c>
      <c r="S543" s="1427" t="s">
        <v>704</v>
      </c>
    </row>
    <row r="544" spans="3:19" ht="76.5">
      <c r="C544" s="1425"/>
      <c r="D544" s="1427">
        <v>6</v>
      </c>
      <c r="E544" s="2573" t="s">
        <v>1900</v>
      </c>
      <c r="F544" s="2639"/>
      <c r="G544" s="2639"/>
      <c r="H544" s="2640"/>
      <c r="I544" s="1427" t="s">
        <v>675</v>
      </c>
      <c r="J544" s="2576">
        <v>150000</v>
      </c>
      <c r="K544" s="2636"/>
      <c r="L544" s="2637"/>
      <c r="M544" s="1428" t="s">
        <v>688</v>
      </c>
      <c r="N544" s="1428">
        <v>5</v>
      </c>
      <c r="O544" s="1427" t="s">
        <v>1901</v>
      </c>
      <c r="P544" s="1427" t="s">
        <v>1902</v>
      </c>
      <c r="Q544" s="1427" t="s">
        <v>1903</v>
      </c>
      <c r="R544" s="1427" t="s">
        <v>1894</v>
      </c>
      <c r="S544" s="1427" t="s">
        <v>673</v>
      </c>
    </row>
    <row r="545" spans="3:19" ht="127.5">
      <c r="C545" s="1425"/>
      <c r="D545" s="1427">
        <v>7</v>
      </c>
      <c r="E545" s="2573" t="s">
        <v>1217</v>
      </c>
      <c r="F545" s="2639"/>
      <c r="G545" s="2639"/>
      <c r="H545" s="2640"/>
      <c r="I545" s="1427" t="s">
        <v>1218</v>
      </c>
      <c r="J545" s="2576">
        <v>492000</v>
      </c>
      <c r="K545" s="2636"/>
      <c r="L545" s="2637"/>
      <c r="M545" s="1428" t="s">
        <v>681</v>
      </c>
      <c r="N545" s="1428">
        <v>489635</v>
      </c>
      <c r="O545" s="1427" t="s">
        <v>1904</v>
      </c>
      <c r="P545" s="1427" t="s">
        <v>683</v>
      </c>
      <c r="Q545" s="1427" t="s">
        <v>684</v>
      </c>
      <c r="R545" s="1427" t="s">
        <v>1905</v>
      </c>
      <c r="S545" s="1427" t="s">
        <v>673</v>
      </c>
    </row>
    <row r="546" spans="3:19" ht="318.75">
      <c r="C546" s="1425"/>
      <c r="D546" s="1427">
        <v>8</v>
      </c>
      <c r="E546" s="2573" t="s">
        <v>1906</v>
      </c>
      <c r="F546" s="2639"/>
      <c r="G546" s="2639"/>
      <c r="H546" s="2640"/>
      <c r="I546" s="1427" t="s">
        <v>1907</v>
      </c>
      <c r="J546" s="2576">
        <v>83333</v>
      </c>
      <c r="K546" s="2636"/>
      <c r="L546" s="2637"/>
      <c r="M546" s="1428" t="s">
        <v>676</v>
      </c>
      <c r="N546" s="1428">
        <v>82250</v>
      </c>
      <c r="O546" s="1427" t="s">
        <v>676</v>
      </c>
      <c r="P546" s="1427" t="s">
        <v>1908</v>
      </c>
      <c r="Q546" s="1427" t="s">
        <v>1909</v>
      </c>
      <c r="R546" s="1427" t="s">
        <v>1910</v>
      </c>
      <c r="S546" s="1427" t="s">
        <v>704</v>
      </c>
    </row>
    <row r="547" spans="3:19" ht="293.25">
      <c r="C547" s="1425"/>
      <c r="D547" s="1427">
        <v>9</v>
      </c>
      <c r="E547" s="2573" t="s">
        <v>1911</v>
      </c>
      <c r="F547" s="2639"/>
      <c r="G547" s="2639"/>
      <c r="H547" s="2640"/>
      <c r="I547" s="1427" t="s">
        <v>1912</v>
      </c>
      <c r="J547" s="2576">
        <v>101000</v>
      </c>
      <c r="K547" s="2636"/>
      <c r="L547" s="2637"/>
      <c r="M547" s="1428" t="s">
        <v>688</v>
      </c>
      <c r="N547" s="1428">
        <v>94300</v>
      </c>
      <c r="O547" s="1427" t="s">
        <v>1913</v>
      </c>
      <c r="P547" s="1427" t="s">
        <v>996</v>
      </c>
      <c r="Q547" s="1427" t="s">
        <v>997</v>
      </c>
      <c r="R547" s="1427" t="s">
        <v>1914</v>
      </c>
      <c r="S547" s="1427" t="s">
        <v>704</v>
      </c>
    </row>
    <row r="548" spans="3:19" ht="127.5">
      <c r="C548" s="1425"/>
      <c r="D548" s="1427">
        <v>10</v>
      </c>
      <c r="E548" s="2573" t="s">
        <v>1915</v>
      </c>
      <c r="F548" s="2639"/>
      <c r="G548" s="2639"/>
      <c r="H548" s="2640"/>
      <c r="I548" s="1427" t="s">
        <v>1916</v>
      </c>
      <c r="J548" s="2576">
        <v>350000</v>
      </c>
      <c r="K548" s="2636"/>
      <c r="L548" s="2637"/>
      <c r="M548" s="1428" t="s">
        <v>688</v>
      </c>
      <c r="N548" s="1428">
        <v>129000</v>
      </c>
      <c r="O548" s="1427" t="s">
        <v>1917</v>
      </c>
      <c r="P548" s="1427" t="s">
        <v>1871</v>
      </c>
      <c r="Q548" s="1427" t="s">
        <v>1872</v>
      </c>
      <c r="R548" s="1427" t="s">
        <v>1918</v>
      </c>
      <c r="S548" s="1427" t="s">
        <v>704</v>
      </c>
    </row>
    <row r="549" spans="3:19" ht="63.75">
      <c r="C549" s="1425"/>
      <c r="D549" s="1427">
        <v>11</v>
      </c>
      <c r="E549" s="2573" t="s">
        <v>1919</v>
      </c>
      <c r="F549" s="2639"/>
      <c r="G549" s="2639"/>
      <c r="H549" s="2640"/>
      <c r="I549" s="1427" t="s">
        <v>1836</v>
      </c>
      <c r="J549" s="2576">
        <v>366175</v>
      </c>
      <c r="K549" s="2636"/>
      <c r="L549" s="2637"/>
      <c r="M549" s="1428" t="s">
        <v>681</v>
      </c>
      <c r="N549" s="1428">
        <v>359572.5</v>
      </c>
      <c r="O549" s="1427" t="s">
        <v>1920</v>
      </c>
      <c r="P549" s="1427" t="s">
        <v>1921</v>
      </c>
      <c r="Q549" s="1427" t="s">
        <v>1591</v>
      </c>
      <c r="R549" s="1427" t="s">
        <v>1922</v>
      </c>
      <c r="S549" s="1427" t="s">
        <v>673</v>
      </c>
    </row>
    <row r="550" spans="3:19" ht="51">
      <c r="C550" s="1425"/>
      <c r="D550" s="1427">
        <v>12</v>
      </c>
      <c r="E550" s="2573" t="s">
        <v>1508</v>
      </c>
      <c r="F550" s="2639"/>
      <c r="G550" s="2639"/>
      <c r="H550" s="2640"/>
      <c r="I550" s="1427" t="s">
        <v>1263</v>
      </c>
      <c r="J550" s="2576">
        <v>5000</v>
      </c>
      <c r="K550" s="2636"/>
      <c r="L550" s="2637"/>
      <c r="M550" s="1428" t="s">
        <v>676</v>
      </c>
      <c r="N550" s="1428">
        <v>4048</v>
      </c>
      <c r="O550" s="1427" t="s">
        <v>676</v>
      </c>
      <c r="P550" s="1427" t="s">
        <v>1923</v>
      </c>
      <c r="Q550" s="1427" t="s">
        <v>1924</v>
      </c>
      <c r="R550" s="1427" t="s">
        <v>1925</v>
      </c>
      <c r="S550" s="1427" t="s">
        <v>704</v>
      </c>
    </row>
    <row r="551" spans="3:19" ht="102">
      <c r="C551" s="1425"/>
      <c r="D551" s="1427">
        <v>13</v>
      </c>
      <c r="E551" s="2573" t="s">
        <v>1926</v>
      </c>
      <c r="F551" s="2639"/>
      <c r="G551" s="2639"/>
      <c r="H551" s="2640"/>
      <c r="I551" s="1427" t="s">
        <v>1039</v>
      </c>
      <c r="J551" s="2576">
        <v>2468572</v>
      </c>
      <c r="K551" s="2636"/>
      <c r="L551" s="2637"/>
      <c r="M551" s="1428" t="s">
        <v>892</v>
      </c>
      <c r="N551" s="1428">
        <v>2234849</v>
      </c>
      <c r="O551" s="1427" t="s">
        <v>1927</v>
      </c>
      <c r="P551" s="1427" t="s">
        <v>1921</v>
      </c>
      <c r="Q551" s="1427" t="s">
        <v>1591</v>
      </c>
      <c r="R551" s="1427" t="s">
        <v>1928</v>
      </c>
      <c r="S551" s="1427" t="s">
        <v>704</v>
      </c>
    </row>
    <row r="552" spans="3:19" ht="178.5">
      <c r="C552" s="1425"/>
      <c r="D552" s="1427">
        <v>14</v>
      </c>
      <c r="E552" s="2573" t="s">
        <v>1929</v>
      </c>
      <c r="F552" s="2639"/>
      <c r="G552" s="2639"/>
      <c r="H552" s="2640"/>
      <c r="I552" s="1427" t="s">
        <v>1930</v>
      </c>
      <c r="J552" s="2576">
        <v>101000</v>
      </c>
      <c r="K552" s="2636"/>
      <c r="L552" s="2637"/>
      <c r="M552" s="1428" t="s">
        <v>688</v>
      </c>
      <c r="N552" s="1428">
        <v>83000</v>
      </c>
      <c r="O552" s="1427" t="s">
        <v>1931</v>
      </c>
      <c r="P552" s="1427" t="s">
        <v>1932</v>
      </c>
      <c r="Q552" s="1427" t="s">
        <v>1933</v>
      </c>
      <c r="R552" s="1427" t="s">
        <v>1934</v>
      </c>
      <c r="S552" s="1427" t="s">
        <v>704</v>
      </c>
    </row>
    <row r="553" spans="3:19" ht="89.25">
      <c r="C553" s="1425"/>
      <c r="D553" s="1427">
        <v>15</v>
      </c>
      <c r="E553" s="2573" t="s">
        <v>1935</v>
      </c>
      <c r="F553" s="2639"/>
      <c r="G553" s="2639"/>
      <c r="H553" s="2640"/>
      <c r="I553" s="1427" t="s">
        <v>1936</v>
      </c>
      <c r="J553" s="2576">
        <v>800000</v>
      </c>
      <c r="K553" s="2636"/>
      <c r="L553" s="2637"/>
      <c r="M553" s="1428" t="s">
        <v>688</v>
      </c>
      <c r="N553" s="1428">
        <v>680000</v>
      </c>
      <c r="O553" s="1427" t="s">
        <v>1937</v>
      </c>
      <c r="P553" s="1427" t="s">
        <v>1938</v>
      </c>
      <c r="Q553" s="1427" t="s">
        <v>1939</v>
      </c>
      <c r="R553" s="1427" t="s">
        <v>1940</v>
      </c>
      <c r="S553" s="1427" t="s">
        <v>704</v>
      </c>
    </row>
    <row r="554" spans="3:19" ht="178.5">
      <c r="C554" s="1425"/>
      <c r="D554" s="1427">
        <v>16</v>
      </c>
      <c r="E554" s="2573" t="s">
        <v>1941</v>
      </c>
      <c r="F554" s="2639"/>
      <c r="G554" s="2639"/>
      <c r="H554" s="2640"/>
      <c r="I554" s="1427" t="s">
        <v>1942</v>
      </c>
      <c r="J554" s="2576">
        <v>20000</v>
      </c>
      <c r="K554" s="2636"/>
      <c r="L554" s="2637"/>
      <c r="M554" s="1428" t="s">
        <v>676</v>
      </c>
      <c r="N554" s="1428">
        <v>19400</v>
      </c>
      <c r="O554" s="1427" t="s">
        <v>676</v>
      </c>
      <c r="P554" s="1454" t="s">
        <v>1943</v>
      </c>
      <c r="Q554" s="1454" t="s">
        <v>1944</v>
      </c>
      <c r="R554" s="1427" t="s">
        <v>1945</v>
      </c>
      <c r="S554" s="1427" t="s">
        <v>704</v>
      </c>
    </row>
    <row r="555" spans="3:19" ht="140.25">
      <c r="C555" s="1425"/>
      <c r="D555" s="1454">
        <v>17</v>
      </c>
      <c r="E555" s="2683" t="s">
        <v>1946</v>
      </c>
      <c r="F555" s="2684"/>
      <c r="G555" s="2684"/>
      <c r="H555" s="2685"/>
      <c r="I555" s="1454" t="s">
        <v>1947</v>
      </c>
      <c r="J555" s="2686">
        <v>20000</v>
      </c>
      <c r="K555" s="2687"/>
      <c r="L555" s="2688"/>
      <c r="M555" s="1534" t="s">
        <v>1948</v>
      </c>
      <c r="N555" s="1455">
        <v>15870</v>
      </c>
      <c r="O555" s="1535" t="s">
        <v>676</v>
      </c>
      <c r="P555" s="1449" t="s">
        <v>1949</v>
      </c>
      <c r="Q555" s="1449" t="s">
        <v>1950</v>
      </c>
      <c r="R555" s="1536" t="s">
        <v>1951</v>
      </c>
      <c r="S555" s="1454" t="s">
        <v>704</v>
      </c>
    </row>
    <row r="556" spans="3:19" ht="114.75">
      <c r="C556" s="1425"/>
      <c r="D556" s="1456">
        <v>18</v>
      </c>
      <c r="E556" s="2705" t="s">
        <v>1952</v>
      </c>
      <c r="F556" s="2706"/>
      <c r="G556" s="2706"/>
      <c r="H556" s="2707"/>
      <c r="I556" s="1537" t="s">
        <v>1953</v>
      </c>
      <c r="J556" s="1538"/>
      <c r="K556" s="1539"/>
      <c r="L556" s="1540">
        <v>392874</v>
      </c>
      <c r="M556" s="1540"/>
      <c r="N556" s="1541">
        <v>392874</v>
      </c>
      <c r="O556" s="1456"/>
      <c r="P556" s="1542" t="s">
        <v>1954</v>
      </c>
      <c r="Q556" s="1542" t="s">
        <v>1955</v>
      </c>
      <c r="R556" s="1542" t="s">
        <v>1956</v>
      </c>
      <c r="S556" s="1456"/>
    </row>
    <row r="557" spans="3:19" ht="14.25">
      <c r="C557" s="1418"/>
      <c r="D557" s="1435"/>
      <c r="E557" s="2589" t="s">
        <v>761</v>
      </c>
      <c r="F557" s="2589"/>
      <c r="G557" s="2589"/>
      <c r="H557" s="2589"/>
      <c r="I557" s="1435"/>
      <c r="J557" s="2590">
        <f>SUM(J539:L556)</f>
        <v>6289954</v>
      </c>
      <c r="K557" s="2591"/>
      <c r="L557" s="2592"/>
      <c r="M557" s="1433"/>
      <c r="N557" s="1433">
        <f>SUM(N539:N556)</f>
        <v>5241274.5</v>
      </c>
      <c r="O557" s="1434"/>
      <c r="P557" s="1435"/>
      <c r="Q557" s="1435"/>
      <c r="R557" s="1436"/>
      <c r="S557" s="1436"/>
    </row>
    <row r="558" spans="3:19" ht="15">
      <c r="C558" s="1418"/>
      <c r="D558" s="1419"/>
      <c r="E558" s="1419"/>
      <c r="F558" s="1419"/>
      <c r="G558" s="1419"/>
      <c r="H558" s="1419"/>
      <c r="I558" s="1419"/>
      <c r="J558" s="1416"/>
      <c r="K558" s="1416"/>
      <c r="L558" s="1416"/>
      <c r="M558" s="1416"/>
      <c r="N558" s="1416"/>
      <c r="O558" s="1419"/>
      <c r="P558" s="1437" t="s">
        <v>762</v>
      </c>
      <c r="Q558" s="1419"/>
      <c r="R558" s="1418"/>
      <c r="S558" s="1418"/>
    </row>
    <row r="559" spans="3:19" ht="15">
      <c r="C559" s="1418"/>
      <c r="D559" s="1419"/>
      <c r="E559" s="1419"/>
      <c r="F559" s="1419"/>
      <c r="G559" s="1419"/>
      <c r="H559" s="1419"/>
      <c r="I559" s="1419"/>
      <c r="J559" s="1416"/>
      <c r="K559" s="1416"/>
      <c r="L559" s="1416"/>
      <c r="M559" s="1416"/>
      <c r="N559" s="1416"/>
      <c r="O559" s="1419"/>
      <c r="P559" s="1437" t="s">
        <v>763</v>
      </c>
      <c r="Q559" s="1419"/>
      <c r="R559" s="1418"/>
      <c r="S559" s="1418"/>
    </row>
    <row r="560" spans="3:19" ht="14.25">
      <c r="C560" s="1418"/>
      <c r="D560" s="1418"/>
      <c r="E560" s="1418"/>
      <c r="F560" s="1418"/>
      <c r="G560" s="1418"/>
      <c r="H560" s="1418"/>
      <c r="I560" s="1418"/>
      <c r="J560" s="1417"/>
      <c r="K560" s="1417"/>
      <c r="L560" s="1417"/>
      <c r="M560" s="1417"/>
      <c r="N560" s="1417"/>
      <c r="O560" s="1418"/>
      <c r="P560" s="1418"/>
      <c r="Q560" s="1418"/>
      <c r="R560" s="1418"/>
      <c r="S560" s="1418"/>
    </row>
    <row r="561" spans="3:19" ht="23.25">
      <c r="C561" s="2593" t="s">
        <v>652</v>
      </c>
      <c r="D561" s="2593"/>
      <c r="E561" s="2593"/>
      <c r="F561" s="2593"/>
      <c r="G561" s="2593"/>
      <c r="H561" s="2593"/>
      <c r="I561" s="2593"/>
      <c r="J561" s="2593"/>
      <c r="K561" s="1416"/>
      <c r="L561" s="1416"/>
      <c r="M561" s="1416"/>
      <c r="N561" s="1416"/>
      <c r="O561" s="1419"/>
      <c r="P561" s="1419"/>
      <c r="Q561" s="1419"/>
      <c r="R561" s="1419"/>
      <c r="S561" s="1419"/>
    </row>
    <row r="562" spans="3:19" ht="14.25">
      <c r="C562" s="1419"/>
      <c r="D562" s="1419"/>
      <c r="E562" s="1419"/>
      <c r="F562" s="1419"/>
      <c r="G562" s="1419"/>
      <c r="H562" s="1419"/>
      <c r="I562" s="1419"/>
      <c r="J562" s="1416"/>
      <c r="K562" s="1416"/>
      <c r="L562" s="1416"/>
      <c r="M562" s="1416"/>
      <c r="N562" s="1416"/>
      <c r="O562" s="1419"/>
      <c r="P562" s="1419"/>
      <c r="Q562" s="1419"/>
      <c r="R562" s="1419"/>
      <c r="S562" s="1419"/>
    </row>
    <row r="563" spans="3:19" ht="14.25">
      <c r="C563" s="2604" t="s">
        <v>653</v>
      </c>
      <c r="D563" s="2604"/>
      <c r="E563" s="2604"/>
      <c r="F563" s="1419"/>
      <c r="G563" s="1463" t="s">
        <v>654</v>
      </c>
      <c r="H563" s="1419"/>
      <c r="I563" s="1419"/>
      <c r="J563" s="1416"/>
      <c r="K563" s="1416"/>
      <c r="L563" s="1416"/>
      <c r="M563" s="1416"/>
      <c r="N563" s="1416"/>
      <c r="O563" s="1419"/>
      <c r="P563" s="1419"/>
      <c r="Q563" s="1419"/>
      <c r="R563" s="1419"/>
      <c r="S563" s="1419"/>
    </row>
    <row r="564" spans="3:19" ht="14.25">
      <c r="C564" s="1419"/>
      <c r="D564" s="1419"/>
      <c r="E564" s="1419"/>
      <c r="F564" s="1419"/>
      <c r="G564" s="1419"/>
      <c r="H564" s="1419"/>
      <c r="I564" s="1419"/>
      <c r="J564" s="1416"/>
      <c r="K564" s="1416"/>
      <c r="L564" s="1416"/>
      <c r="M564" s="1416"/>
      <c r="N564" s="1416"/>
      <c r="O564" s="1419"/>
      <c r="P564" s="1419"/>
      <c r="Q564" s="1419"/>
      <c r="R564" s="1419"/>
      <c r="S564" s="1419"/>
    </row>
    <row r="565" spans="3:19" ht="14.25">
      <c r="C565" s="2604" t="s">
        <v>655</v>
      </c>
      <c r="D565" s="2604"/>
      <c r="E565" s="2604"/>
      <c r="F565" s="1419"/>
      <c r="G565" s="2605" t="s">
        <v>1957</v>
      </c>
      <c r="H565" s="2596"/>
      <c r="I565" s="2596"/>
      <c r="J565" s="2596"/>
      <c r="K565" s="2596"/>
      <c r="L565" s="1416"/>
      <c r="M565" s="1416"/>
      <c r="N565" s="1416"/>
      <c r="O565" s="1419"/>
      <c r="P565" s="1419"/>
      <c r="Q565" s="1419"/>
      <c r="R565" s="1419"/>
      <c r="S565" s="1419"/>
    </row>
    <row r="566" spans="3:19" ht="14.25">
      <c r="C566" s="1418"/>
      <c r="D566" s="1418"/>
      <c r="E566" s="1418"/>
      <c r="F566" s="1418"/>
      <c r="G566" s="1418"/>
      <c r="H566" s="1418"/>
      <c r="I566" s="1418"/>
      <c r="J566" s="1417"/>
      <c r="K566" s="1417"/>
      <c r="L566" s="1417"/>
      <c r="M566" s="1417"/>
      <c r="N566" s="1417"/>
      <c r="O566" s="1418"/>
      <c r="P566" s="1418"/>
      <c r="Q566" s="1418"/>
      <c r="R566" s="1418"/>
      <c r="S566" s="1418"/>
    </row>
    <row r="567" spans="3:19" ht="191.25">
      <c r="C567" s="1418"/>
      <c r="D567" s="1426" t="s">
        <v>657</v>
      </c>
      <c r="E567" s="2588" t="s">
        <v>587</v>
      </c>
      <c r="F567" s="2639"/>
      <c r="G567" s="2639"/>
      <c r="H567" s="2640"/>
      <c r="I567" s="1426" t="s">
        <v>658</v>
      </c>
      <c r="J567" s="2588" t="s">
        <v>659</v>
      </c>
      <c r="K567" s="2639"/>
      <c r="L567" s="2640"/>
      <c r="M567" s="1426" t="s">
        <v>660</v>
      </c>
      <c r="N567" s="1426" t="s">
        <v>661</v>
      </c>
      <c r="O567" s="1426" t="s">
        <v>662</v>
      </c>
      <c r="P567" s="1426" t="s">
        <v>663</v>
      </c>
      <c r="Q567" s="1426" t="s">
        <v>664</v>
      </c>
      <c r="R567" s="1426" t="s">
        <v>765</v>
      </c>
      <c r="S567" s="1426" t="s">
        <v>766</v>
      </c>
    </row>
    <row r="568" spans="3:19" ht="14.25">
      <c r="C568" s="1418"/>
      <c r="D568" s="1435"/>
      <c r="E568" s="2589" t="s">
        <v>761</v>
      </c>
      <c r="F568" s="2589"/>
      <c r="G568" s="2589"/>
      <c r="H568" s="2589"/>
      <c r="I568" s="1435"/>
      <c r="J568" s="2590">
        <v>0</v>
      </c>
      <c r="K568" s="2591"/>
      <c r="L568" s="2592"/>
      <c r="M568" s="1433"/>
      <c r="N568" s="1433">
        <v>0</v>
      </c>
      <c r="O568" s="1434"/>
      <c r="P568" s="1435"/>
      <c r="Q568" s="1436"/>
      <c r="R568" s="1436"/>
      <c r="S568" s="1436"/>
    </row>
    <row r="569" spans="3:19" ht="15">
      <c r="C569" s="1418"/>
      <c r="D569" s="1419"/>
      <c r="E569" s="1419"/>
      <c r="F569" s="1419"/>
      <c r="G569" s="1419"/>
      <c r="H569" s="1419"/>
      <c r="I569" s="1419"/>
      <c r="J569" s="1416"/>
      <c r="K569" s="1416"/>
      <c r="L569" s="1416"/>
      <c r="M569" s="1416"/>
      <c r="N569" s="1416"/>
      <c r="O569" s="1419"/>
      <c r="P569" s="1437" t="s">
        <v>762</v>
      </c>
      <c r="Q569" s="1418"/>
      <c r="R569" s="1418"/>
      <c r="S569" s="1418"/>
    </row>
    <row r="570" spans="3:19" ht="15">
      <c r="C570" s="1418"/>
      <c r="D570" s="1419"/>
      <c r="E570" s="1419"/>
      <c r="F570" s="1419"/>
      <c r="G570" s="1419"/>
      <c r="H570" s="1419"/>
      <c r="I570" s="1419"/>
      <c r="J570" s="1416"/>
      <c r="K570" s="1416"/>
      <c r="L570" s="1416"/>
      <c r="M570" s="1416"/>
      <c r="N570" s="1416"/>
      <c r="O570" s="1419"/>
      <c r="P570" s="1437" t="s">
        <v>763</v>
      </c>
      <c r="Q570" s="1418"/>
      <c r="R570" s="1418"/>
      <c r="S570" s="1418"/>
    </row>
    <row r="571" spans="3:19" ht="14.25">
      <c r="C571" s="1418"/>
      <c r="D571" s="1418"/>
      <c r="E571" s="1418"/>
      <c r="F571" s="1418"/>
      <c r="G571" s="1418"/>
      <c r="H571" s="1418"/>
      <c r="I571" s="1418"/>
      <c r="J571" s="1417"/>
      <c r="K571" s="1417"/>
      <c r="L571" s="1417"/>
      <c r="M571" s="1417"/>
      <c r="N571" s="1417"/>
      <c r="O571" s="1418"/>
      <c r="P571" s="1418"/>
      <c r="Q571" s="1418"/>
      <c r="R571" s="1418"/>
      <c r="S571" s="1418"/>
    </row>
    <row r="572" spans="3:19" ht="23.25">
      <c r="C572" s="2593" t="s">
        <v>652</v>
      </c>
      <c r="D572" s="2593"/>
      <c r="E572" s="2593"/>
      <c r="F572" s="2593"/>
      <c r="G572" s="2593"/>
      <c r="H572" s="2593"/>
      <c r="I572" s="2593"/>
      <c r="J572" s="2593"/>
      <c r="K572" s="1416"/>
      <c r="L572" s="1416"/>
      <c r="M572" s="1416"/>
      <c r="N572" s="1416"/>
      <c r="O572" s="1419"/>
      <c r="P572" s="1419"/>
      <c r="Q572" s="1419"/>
      <c r="R572" s="1419"/>
      <c r="S572" s="1419"/>
    </row>
    <row r="573" spans="3:19" ht="14.25">
      <c r="C573" s="1419"/>
      <c r="D573" s="1419"/>
      <c r="E573" s="1419"/>
      <c r="F573" s="1419"/>
      <c r="G573" s="1419"/>
      <c r="H573" s="1419"/>
      <c r="I573" s="1419"/>
      <c r="J573" s="1416"/>
      <c r="K573" s="1416"/>
      <c r="L573" s="1416"/>
      <c r="M573" s="1416"/>
      <c r="N573" s="1416"/>
      <c r="O573" s="1419"/>
      <c r="P573" s="1419"/>
      <c r="Q573" s="1419"/>
      <c r="R573" s="1419"/>
      <c r="S573" s="1419"/>
    </row>
    <row r="574" spans="3:19" ht="15">
      <c r="C574" s="2595" t="s">
        <v>653</v>
      </c>
      <c r="D574" s="2595"/>
      <c r="E574" s="2595"/>
      <c r="F574" s="1419"/>
      <c r="G574" s="1422" t="s">
        <v>654</v>
      </c>
      <c r="H574" s="1419"/>
      <c r="I574" s="1419"/>
      <c r="J574" s="1416"/>
      <c r="K574" s="1416"/>
      <c r="L574" s="1416"/>
      <c r="M574" s="1416"/>
      <c r="N574" s="1416"/>
      <c r="O574" s="1419"/>
      <c r="P574" s="1419"/>
      <c r="Q574" s="1419"/>
      <c r="R574" s="1419"/>
      <c r="S574" s="1419"/>
    </row>
    <row r="575" spans="3:19" ht="14.25">
      <c r="C575" s="1419"/>
      <c r="D575" s="1419"/>
      <c r="E575" s="1419"/>
      <c r="F575" s="1419"/>
      <c r="G575" s="1419"/>
      <c r="H575" s="1419"/>
      <c r="I575" s="1419"/>
      <c r="J575" s="1416"/>
      <c r="K575" s="1416"/>
      <c r="L575" s="1416"/>
      <c r="M575" s="1416"/>
      <c r="N575" s="1416"/>
      <c r="O575" s="1419"/>
      <c r="P575" s="1419"/>
      <c r="Q575" s="1419"/>
      <c r="R575" s="1419"/>
      <c r="S575" s="1419"/>
    </row>
    <row r="576" spans="3:19" ht="15">
      <c r="C576" s="2595" t="s">
        <v>655</v>
      </c>
      <c r="D576" s="2595"/>
      <c r="E576" s="2595"/>
      <c r="F576" s="1419"/>
      <c r="G576" s="2597" t="s">
        <v>1958</v>
      </c>
      <c r="H576" s="2596"/>
      <c r="I576" s="2596"/>
      <c r="J576" s="2596"/>
      <c r="K576" s="2596"/>
      <c r="L576" s="1416"/>
      <c r="M576" s="1416"/>
      <c r="N576" s="1416"/>
      <c r="O576" s="1419"/>
      <c r="P576" s="1419"/>
      <c r="Q576" s="1419"/>
      <c r="R576" s="1419"/>
      <c r="S576" s="1419"/>
    </row>
    <row r="577" spans="3:19" ht="14.25">
      <c r="C577" s="1418"/>
      <c r="D577" s="1418"/>
      <c r="E577" s="1418"/>
      <c r="F577" s="1418"/>
      <c r="G577" s="1418"/>
      <c r="H577" s="1418"/>
      <c r="I577" s="1418"/>
      <c r="J577" s="1417"/>
      <c r="K577" s="1417"/>
      <c r="L577" s="1417"/>
      <c r="M577" s="1417"/>
      <c r="N577" s="1417"/>
      <c r="O577" s="1418"/>
      <c r="P577" s="1418"/>
      <c r="Q577" s="1418"/>
      <c r="R577" s="1418"/>
      <c r="S577" s="1418"/>
    </row>
    <row r="578" spans="3:19" ht="191.25">
      <c r="C578" s="1543"/>
      <c r="D578" s="1544" t="s">
        <v>657</v>
      </c>
      <c r="E578" s="2607" t="s">
        <v>587</v>
      </c>
      <c r="F578" s="2704"/>
      <c r="G578" s="2704"/>
      <c r="H578" s="2704"/>
      <c r="I578" s="1544" t="s">
        <v>658</v>
      </c>
      <c r="J578" s="2607" t="s">
        <v>659</v>
      </c>
      <c r="K578" s="2704"/>
      <c r="L578" s="2704"/>
      <c r="M578" s="1544" t="s">
        <v>660</v>
      </c>
      <c r="N578" s="1544" t="s">
        <v>661</v>
      </c>
      <c r="O578" s="1544" t="s">
        <v>662</v>
      </c>
      <c r="P578" s="1544" t="s">
        <v>663</v>
      </c>
      <c r="Q578" s="1544" t="s">
        <v>664</v>
      </c>
      <c r="R578" s="1544" t="s">
        <v>765</v>
      </c>
      <c r="S578" s="1544" t="s">
        <v>766</v>
      </c>
    </row>
    <row r="579" spans="3:19" ht="38.25">
      <c r="C579" s="1545"/>
      <c r="D579" s="1435">
        <v>1</v>
      </c>
      <c r="E579" s="2589" t="s">
        <v>1959</v>
      </c>
      <c r="F579" s="2702"/>
      <c r="G579" s="2702"/>
      <c r="H579" s="2702"/>
      <c r="I579" s="1435" t="s">
        <v>1365</v>
      </c>
      <c r="J579" s="2701">
        <v>416667</v>
      </c>
      <c r="K579" s="2703"/>
      <c r="L579" s="2703"/>
      <c r="M579" s="1433" t="s">
        <v>688</v>
      </c>
      <c r="N579" s="1433">
        <v>9</v>
      </c>
      <c r="O579" s="1435" t="s">
        <v>1439</v>
      </c>
      <c r="P579" s="1435" t="s">
        <v>1960</v>
      </c>
      <c r="Q579" s="1435" t="s">
        <v>1961</v>
      </c>
      <c r="R579" s="1435" t="s">
        <v>1064</v>
      </c>
      <c r="S579" s="1435" t="s">
        <v>704</v>
      </c>
    </row>
    <row r="580" spans="3:19" ht="63.75">
      <c r="C580" s="1545"/>
      <c r="D580" s="1435">
        <v>2</v>
      </c>
      <c r="E580" s="2589" t="s">
        <v>1718</v>
      </c>
      <c r="F580" s="2702"/>
      <c r="G580" s="2702"/>
      <c r="H580" s="2702"/>
      <c r="I580" s="1435" t="s">
        <v>1183</v>
      </c>
      <c r="J580" s="2701">
        <v>2750000</v>
      </c>
      <c r="K580" s="2703"/>
      <c r="L580" s="2703"/>
      <c r="M580" s="1433" t="s">
        <v>892</v>
      </c>
      <c r="N580" s="1433">
        <v>2686040</v>
      </c>
      <c r="O580" s="1435" t="s">
        <v>1651</v>
      </c>
      <c r="P580" s="1435" t="s">
        <v>1347</v>
      </c>
      <c r="Q580" s="1435" t="s">
        <v>1348</v>
      </c>
      <c r="R580" s="1435" t="s">
        <v>1962</v>
      </c>
      <c r="S580" s="1435" t="s">
        <v>673</v>
      </c>
    </row>
    <row r="581" spans="3:19" ht="38.25">
      <c r="C581" s="1545"/>
      <c r="D581" s="1435">
        <v>3</v>
      </c>
      <c r="E581" s="2589" t="s">
        <v>1721</v>
      </c>
      <c r="F581" s="2702"/>
      <c r="G581" s="2702"/>
      <c r="H581" s="2702"/>
      <c r="I581" s="1435" t="s">
        <v>699</v>
      </c>
      <c r="J581" s="2701">
        <v>291667</v>
      </c>
      <c r="K581" s="2703"/>
      <c r="L581" s="2703"/>
      <c r="M581" s="1433" t="s">
        <v>688</v>
      </c>
      <c r="N581" s="1433">
        <v>250000</v>
      </c>
      <c r="O581" s="1435" t="s">
        <v>1963</v>
      </c>
      <c r="P581" s="1435" t="s">
        <v>956</v>
      </c>
      <c r="Q581" s="1435" t="s">
        <v>957</v>
      </c>
      <c r="R581" s="1435" t="s">
        <v>1964</v>
      </c>
      <c r="S581" s="1435" t="s">
        <v>673</v>
      </c>
    </row>
    <row r="582" spans="3:19" ht="51">
      <c r="C582" s="1545"/>
      <c r="D582" s="1435">
        <v>4</v>
      </c>
      <c r="E582" s="2589" t="s">
        <v>1965</v>
      </c>
      <c r="F582" s="2702"/>
      <c r="G582" s="2702"/>
      <c r="H582" s="2702"/>
      <c r="I582" s="1435" t="s">
        <v>1966</v>
      </c>
      <c r="J582" s="2701">
        <v>166666</v>
      </c>
      <c r="K582" s="2703"/>
      <c r="L582" s="2703"/>
      <c r="M582" s="1433" t="s">
        <v>688</v>
      </c>
      <c r="N582" s="1433">
        <v>29</v>
      </c>
      <c r="O582" s="1435" t="s">
        <v>1967</v>
      </c>
      <c r="P582" s="1435" t="s">
        <v>1968</v>
      </c>
      <c r="Q582" s="1435" t="s">
        <v>1969</v>
      </c>
      <c r="R582" s="1435" t="s">
        <v>1064</v>
      </c>
      <c r="S582" s="1435" t="s">
        <v>704</v>
      </c>
    </row>
    <row r="583" spans="3:19" ht="102">
      <c r="C583" s="1545"/>
      <c r="D583" s="1435">
        <v>5</v>
      </c>
      <c r="E583" s="2589" t="s">
        <v>1970</v>
      </c>
      <c r="F583" s="2702"/>
      <c r="G583" s="2702"/>
      <c r="H583" s="2702"/>
      <c r="I583" s="1435" t="s">
        <v>1971</v>
      </c>
      <c r="J583" s="2701">
        <v>541667</v>
      </c>
      <c r="K583" s="2703"/>
      <c r="L583" s="2703"/>
      <c r="M583" s="1433" t="s">
        <v>688</v>
      </c>
      <c r="N583" s="1433">
        <v>400000</v>
      </c>
      <c r="O583" s="1435" t="s">
        <v>1972</v>
      </c>
      <c r="P583" s="1435" t="s">
        <v>1973</v>
      </c>
      <c r="Q583" s="1435" t="s">
        <v>1974</v>
      </c>
      <c r="R583" s="1435" t="s">
        <v>1975</v>
      </c>
      <c r="S583" s="1435" t="s">
        <v>704</v>
      </c>
    </row>
    <row r="584" spans="3:19" ht="102">
      <c r="C584" s="1545"/>
      <c r="D584" s="1435">
        <v>6</v>
      </c>
      <c r="E584" s="2589" t="s">
        <v>1976</v>
      </c>
      <c r="F584" s="2702"/>
      <c r="G584" s="2702"/>
      <c r="H584" s="2702"/>
      <c r="I584" s="1435" t="s">
        <v>1039</v>
      </c>
      <c r="J584" s="2701">
        <v>1958333</v>
      </c>
      <c r="K584" s="2703"/>
      <c r="L584" s="2703"/>
      <c r="M584" s="1433" t="s">
        <v>892</v>
      </c>
      <c r="N584" s="1433">
        <v>6740.87</v>
      </c>
      <c r="O584" s="1435" t="s">
        <v>1977</v>
      </c>
      <c r="P584" s="1435" t="s">
        <v>1652</v>
      </c>
      <c r="Q584" s="1435" t="s">
        <v>1653</v>
      </c>
      <c r="R584" s="1435" t="s">
        <v>1978</v>
      </c>
      <c r="S584" s="1435" t="s">
        <v>704</v>
      </c>
    </row>
    <row r="585" spans="3:19" ht="51">
      <c r="C585" s="1545"/>
      <c r="D585" s="1435">
        <v>7</v>
      </c>
      <c r="E585" s="2589" t="s">
        <v>1518</v>
      </c>
      <c r="F585" s="2702"/>
      <c r="G585" s="2702"/>
      <c r="H585" s="2702"/>
      <c r="I585" s="1435" t="s">
        <v>1746</v>
      </c>
      <c r="J585" s="2701">
        <v>250000</v>
      </c>
      <c r="K585" s="2703"/>
      <c r="L585" s="2703"/>
      <c r="M585" s="1433" t="s">
        <v>688</v>
      </c>
      <c r="N585" s="1433">
        <v>160000</v>
      </c>
      <c r="O585" s="1435" t="s">
        <v>1963</v>
      </c>
      <c r="P585" s="1435" t="s">
        <v>956</v>
      </c>
      <c r="Q585" s="1435" t="s">
        <v>957</v>
      </c>
      <c r="R585" s="1435" t="s">
        <v>1964</v>
      </c>
      <c r="S585" s="1435" t="s">
        <v>673</v>
      </c>
    </row>
    <row r="586" spans="3:19" ht="51">
      <c r="C586" s="1545"/>
      <c r="D586" s="1435">
        <v>8</v>
      </c>
      <c r="E586" s="2589" t="s">
        <v>1979</v>
      </c>
      <c r="F586" s="2702"/>
      <c r="G586" s="2702"/>
      <c r="H586" s="2702"/>
      <c r="I586" s="1435" t="s">
        <v>1979</v>
      </c>
      <c r="J586" s="2701">
        <v>24627</v>
      </c>
      <c r="K586" s="2703"/>
      <c r="L586" s="2703"/>
      <c r="M586" s="1433" t="s">
        <v>688</v>
      </c>
      <c r="N586" s="1433">
        <v>24627</v>
      </c>
      <c r="O586" s="1435" t="s">
        <v>1963</v>
      </c>
      <c r="P586" s="1435" t="s">
        <v>1980</v>
      </c>
      <c r="Q586" s="1435" t="s">
        <v>957</v>
      </c>
      <c r="R586" s="1435" t="s">
        <v>1964</v>
      </c>
      <c r="S586" s="1435" t="s">
        <v>673</v>
      </c>
    </row>
    <row r="587" spans="3:19" ht="51">
      <c r="C587" s="1545"/>
      <c r="D587" s="1435">
        <v>9</v>
      </c>
      <c r="E587" s="2589" t="s">
        <v>1979</v>
      </c>
      <c r="F587" s="2702"/>
      <c r="G587" s="2702"/>
      <c r="H587" s="2702"/>
      <c r="I587" s="1435" t="s">
        <v>1979</v>
      </c>
      <c r="J587" s="2701">
        <v>24627</v>
      </c>
      <c r="K587" s="2703"/>
      <c r="L587" s="2703"/>
      <c r="M587" s="1433" t="s">
        <v>688</v>
      </c>
      <c r="N587" s="1433">
        <v>24627</v>
      </c>
      <c r="O587" s="1435" t="s">
        <v>1963</v>
      </c>
      <c r="P587" s="1435" t="s">
        <v>1980</v>
      </c>
      <c r="Q587" s="1435" t="s">
        <v>957</v>
      </c>
      <c r="R587" s="1435" t="s">
        <v>1964</v>
      </c>
      <c r="S587" s="1435" t="s">
        <v>673</v>
      </c>
    </row>
    <row r="588" spans="3:19" ht="89.25">
      <c r="C588" s="1545"/>
      <c r="D588" s="1435">
        <v>10</v>
      </c>
      <c r="E588" s="2589" t="s">
        <v>1981</v>
      </c>
      <c r="F588" s="2702"/>
      <c r="G588" s="2702"/>
      <c r="H588" s="2702"/>
      <c r="I588" s="1435" t="s">
        <v>1982</v>
      </c>
      <c r="J588" s="2701">
        <v>281660</v>
      </c>
      <c r="K588" s="2701"/>
      <c r="L588" s="2701"/>
      <c r="M588" s="1433" t="s">
        <v>1983</v>
      </c>
      <c r="N588" s="1433">
        <v>281660</v>
      </c>
      <c r="O588" s="1546">
        <v>43145</v>
      </c>
      <c r="P588" s="1435" t="s">
        <v>1984</v>
      </c>
      <c r="Q588" s="1435" t="s">
        <v>1985</v>
      </c>
      <c r="R588" s="1547"/>
      <c r="S588" s="1435" t="s">
        <v>673</v>
      </c>
    </row>
    <row r="589" spans="3:19" ht="14.25">
      <c r="C589" s="1418"/>
      <c r="D589" s="1435"/>
      <c r="E589" s="2589" t="s">
        <v>761</v>
      </c>
      <c r="F589" s="2589"/>
      <c r="G589" s="2589"/>
      <c r="H589" s="2589"/>
      <c r="I589" s="1435"/>
      <c r="J589" s="2701">
        <f>SUM(J579:J588)</f>
        <v>6705914</v>
      </c>
      <c r="K589" s="2701"/>
      <c r="L589" s="2701"/>
      <c r="M589" s="1433"/>
      <c r="N589" s="1433">
        <f>SUM(N579:N588)</f>
        <v>3833732.87</v>
      </c>
      <c r="O589" s="1434"/>
      <c r="P589" s="1435"/>
      <c r="Q589" s="1435"/>
      <c r="R589" s="1496"/>
      <c r="S589" s="1496"/>
    </row>
    <row r="590" spans="3:19" ht="15">
      <c r="C590" s="1418"/>
      <c r="D590" s="1419"/>
      <c r="E590" s="1419"/>
      <c r="F590" s="1419"/>
      <c r="G590" s="1419"/>
      <c r="H590" s="1419"/>
      <c r="I590" s="1419"/>
      <c r="J590" s="1416"/>
      <c r="K590" s="1416"/>
      <c r="L590" s="1416"/>
      <c r="M590" s="1416"/>
      <c r="N590" s="1416"/>
      <c r="O590" s="1419"/>
      <c r="P590" s="1437" t="s">
        <v>762</v>
      </c>
      <c r="Q590" s="1419"/>
      <c r="R590" s="1419"/>
      <c r="S590" s="1419"/>
    </row>
    <row r="591" spans="3:19" ht="15">
      <c r="C591" s="1418"/>
      <c r="D591" s="1419"/>
      <c r="E591" s="1419"/>
      <c r="F591" s="1419"/>
      <c r="G591" s="1419"/>
      <c r="H591" s="1419"/>
      <c r="I591" s="1419"/>
      <c r="J591" s="1416"/>
      <c r="K591" s="1416"/>
      <c r="L591" s="1416"/>
      <c r="M591" s="1416"/>
      <c r="N591" s="1416"/>
      <c r="O591" s="1419"/>
      <c r="P591" s="1437" t="s">
        <v>763</v>
      </c>
      <c r="Q591" s="1419"/>
      <c r="R591" s="1419"/>
      <c r="S591" s="1419"/>
    </row>
    <row r="592" spans="3:19" ht="14.25">
      <c r="C592" s="1418"/>
      <c r="D592" s="1418"/>
      <c r="E592" s="1418"/>
      <c r="F592" s="1418"/>
      <c r="G592" s="1418"/>
      <c r="H592" s="1418"/>
      <c r="I592" s="1418"/>
      <c r="J592" s="1417"/>
      <c r="K592" s="1417"/>
      <c r="L592" s="1417"/>
      <c r="M592" s="1417"/>
      <c r="N592" s="1417"/>
      <c r="O592" s="1418"/>
      <c r="P592" s="1418"/>
      <c r="Q592" s="1418"/>
      <c r="R592" s="1418"/>
      <c r="S592" s="1418"/>
    </row>
    <row r="593" spans="3:19" ht="23.25">
      <c r="C593" s="2593" t="s">
        <v>652</v>
      </c>
      <c r="D593" s="2593"/>
      <c r="E593" s="2593"/>
      <c r="F593" s="2593"/>
      <c r="G593" s="2593"/>
      <c r="H593" s="2593"/>
      <c r="I593" s="2593"/>
      <c r="J593" s="2593"/>
      <c r="K593" s="1416"/>
      <c r="L593" s="1416"/>
      <c r="M593" s="1416"/>
      <c r="N593" s="1416"/>
      <c r="O593" s="1419"/>
      <c r="P593" s="1419"/>
      <c r="Q593" s="1419"/>
      <c r="R593" s="1419"/>
      <c r="S593" s="1419"/>
    </row>
    <row r="594" spans="3:19" ht="14.25">
      <c r="C594" s="1419"/>
      <c r="D594" s="1419"/>
      <c r="E594" s="1419"/>
      <c r="F594" s="1419"/>
      <c r="G594" s="1419"/>
      <c r="H594" s="1419"/>
      <c r="I594" s="1419"/>
      <c r="J594" s="1416"/>
      <c r="K594" s="1416"/>
      <c r="L594" s="1416"/>
      <c r="M594" s="1416"/>
      <c r="N594" s="1416"/>
      <c r="O594" s="1419"/>
      <c r="P594" s="1419"/>
      <c r="Q594" s="1419"/>
      <c r="R594" s="1419"/>
      <c r="S594" s="1419"/>
    </row>
    <row r="595" spans="3:19" ht="15">
      <c r="C595" s="2595" t="s">
        <v>653</v>
      </c>
      <c r="D595" s="2595"/>
      <c r="E595" s="2595"/>
      <c r="F595" s="1419"/>
      <c r="G595" s="1422" t="s">
        <v>654</v>
      </c>
      <c r="H595" s="1419"/>
      <c r="I595" s="1419"/>
      <c r="J595" s="1416"/>
      <c r="K595" s="1416"/>
      <c r="L595" s="1416"/>
      <c r="M595" s="1416"/>
      <c r="N595" s="1416"/>
      <c r="O595" s="1419"/>
      <c r="P595" s="1419"/>
      <c r="Q595" s="1419"/>
      <c r="R595" s="1419"/>
      <c r="S595" s="1419"/>
    </row>
    <row r="596" spans="3:19" ht="14.25">
      <c r="C596" s="1419"/>
      <c r="D596" s="1419"/>
      <c r="E596" s="1419"/>
      <c r="F596" s="1419"/>
      <c r="G596" s="1419"/>
      <c r="H596" s="1419"/>
      <c r="I596" s="1419"/>
      <c r="J596" s="1416"/>
      <c r="K596" s="1416"/>
      <c r="L596" s="1416"/>
      <c r="M596" s="1416"/>
      <c r="N596" s="1416"/>
      <c r="O596" s="1419"/>
      <c r="P596" s="1419"/>
      <c r="Q596" s="1419"/>
      <c r="R596" s="1419"/>
      <c r="S596" s="1419"/>
    </row>
    <row r="597" spans="3:19" ht="15">
      <c r="C597" s="2595" t="s">
        <v>655</v>
      </c>
      <c r="D597" s="2595"/>
      <c r="E597" s="2595"/>
      <c r="F597" s="1419"/>
      <c r="G597" s="2597" t="s">
        <v>1986</v>
      </c>
      <c r="H597" s="2596"/>
      <c r="I597" s="2596"/>
      <c r="J597" s="2596"/>
      <c r="K597" s="2596"/>
      <c r="L597" s="1419"/>
      <c r="M597" s="1419"/>
      <c r="N597" s="1419"/>
      <c r="O597" s="1419"/>
      <c r="P597" s="1419"/>
      <c r="Q597" s="1419"/>
      <c r="R597" s="1419"/>
      <c r="S597" s="1419"/>
    </row>
    <row r="598" spans="3:19" ht="14.25">
      <c r="C598" s="1505"/>
      <c r="D598" s="1418"/>
      <c r="E598" s="1418"/>
      <c r="F598" s="1418"/>
      <c r="G598" s="1418"/>
      <c r="H598" s="1418"/>
      <c r="I598" s="1418"/>
      <c r="J598" s="1418"/>
      <c r="K598" s="1418"/>
      <c r="L598" s="1418"/>
      <c r="M598" s="1418"/>
      <c r="N598" s="1418"/>
      <c r="O598" s="1418"/>
      <c r="P598" s="1418"/>
      <c r="Q598" s="1418"/>
      <c r="R598" s="1418"/>
      <c r="S598" s="1418"/>
    </row>
    <row r="599" spans="3:19" ht="191.25">
      <c r="C599" s="1418"/>
      <c r="D599" s="1426" t="s">
        <v>657</v>
      </c>
      <c r="E599" s="2588" t="s">
        <v>587</v>
      </c>
      <c r="F599" s="2699"/>
      <c r="G599" s="2699"/>
      <c r="H599" s="2700"/>
      <c r="I599" s="1426" t="s">
        <v>658</v>
      </c>
      <c r="J599" s="2588" t="s">
        <v>659</v>
      </c>
      <c r="K599" s="2699"/>
      <c r="L599" s="2700"/>
      <c r="M599" s="1426" t="s">
        <v>660</v>
      </c>
      <c r="N599" s="1426" t="s">
        <v>661</v>
      </c>
      <c r="O599" s="1426" t="s">
        <v>662</v>
      </c>
      <c r="P599" s="1426" t="s">
        <v>663</v>
      </c>
      <c r="Q599" s="1426" t="s">
        <v>664</v>
      </c>
      <c r="R599" s="1426" t="s">
        <v>765</v>
      </c>
      <c r="S599" s="1426" t="s">
        <v>766</v>
      </c>
    </row>
    <row r="600" spans="3:19" ht="51">
      <c r="C600" s="1453"/>
      <c r="D600" s="1427">
        <v>1</v>
      </c>
      <c r="E600" s="2573" t="s">
        <v>1987</v>
      </c>
      <c r="F600" s="2639"/>
      <c r="G600" s="2639"/>
      <c r="H600" s="2640"/>
      <c r="I600" s="1427" t="s">
        <v>1093</v>
      </c>
      <c r="J600" s="2576">
        <v>100000</v>
      </c>
      <c r="K600" s="2636"/>
      <c r="L600" s="2637"/>
      <c r="M600" s="1428" t="s">
        <v>676</v>
      </c>
      <c r="N600" s="1428">
        <v>100000</v>
      </c>
      <c r="O600" s="1427"/>
      <c r="P600" s="1427" t="s">
        <v>1988</v>
      </c>
      <c r="Q600" s="1427" t="s">
        <v>1989</v>
      </c>
      <c r="R600" s="1427" t="s">
        <v>1990</v>
      </c>
      <c r="S600" s="1427" t="s">
        <v>673</v>
      </c>
    </row>
    <row r="601" spans="3:19" ht="51">
      <c r="C601" s="1453"/>
      <c r="D601" s="1427">
        <v>2</v>
      </c>
      <c r="E601" s="2573" t="s">
        <v>1991</v>
      </c>
      <c r="F601" s="2639"/>
      <c r="G601" s="2639"/>
      <c r="H601" s="2640"/>
      <c r="I601" s="1427" t="s">
        <v>1093</v>
      </c>
      <c r="J601" s="2576">
        <v>100000</v>
      </c>
      <c r="K601" s="2636"/>
      <c r="L601" s="2637"/>
      <c r="M601" s="1428" t="s">
        <v>676</v>
      </c>
      <c r="N601" s="1428">
        <v>57600</v>
      </c>
      <c r="O601" s="1427" t="s">
        <v>676</v>
      </c>
      <c r="P601" s="1427" t="s">
        <v>695</v>
      </c>
      <c r="Q601" s="1427" t="s">
        <v>696</v>
      </c>
      <c r="R601" s="1427" t="s">
        <v>1992</v>
      </c>
      <c r="S601" s="1427" t="s">
        <v>673</v>
      </c>
    </row>
    <row r="602" spans="3:19" ht="51">
      <c r="C602" s="1453"/>
      <c r="D602" s="1427">
        <v>3</v>
      </c>
      <c r="E602" s="2573" t="s">
        <v>1993</v>
      </c>
      <c r="F602" s="2639"/>
      <c r="G602" s="2639"/>
      <c r="H602" s="2640"/>
      <c r="I602" s="1427" t="s">
        <v>1093</v>
      </c>
      <c r="J602" s="2576">
        <v>283177</v>
      </c>
      <c r="K602" s="2636"/>
      <c r="L602" s="2637"/>
      <c r="M602" s="1428" t="s">
        <v>688</v>
      </c>
      <c r="N602" s="1428">
        <v>171558</v>
      </c>
      <c r="O602" s="1427" t="s">
        <v>1994</v>
      </c>
      <c r="P602" s="1427" t="s">
        <v>1995</v>
      </c>
      <c r="Q602" s="1427" t="s">
        <v>1996</v>
      </c>
      <c r="R602" s="1427" t="s">
        <v>1997</v>
      </c>
      <c r="S602" s="1427" t="s">
        <v>673</v>
      </c>
    </row>
    <row r="603" spans="3:19" ht="51">
      <c r="C603" s="1453"/>
      <c r="D603" s="1427">
        <v>4</v>
      </c>
      <c r="E603" s="2573" t="s">
        <v>1604</v>
      </c>
      <c r="F603" s="2639"/>
      <c r="G603" s="2639"/>
      <c r="H603" s="2640"/>
      <c r="I603" s="1427" t="s">
        <v>1093</v>
      </c>
      <c r="J603" s="2576">
        <v>754800</v>
      </c>
      <c r="K603" s="2636"/>
      <c r="L603" s="2637"/>
      <c r="M603" s="1428" t="s">
        <v>688</v>
      </c>
      <c r="N603" s="1428">
        <v>460486</v>
      </c>
      <c r="O603" s="1427" t="s">
        <v>1998</v>
      </c>
      <c r="P603" s="1427" t="s">
        <v>1999</v>
      </c>
      <c r="Q603" s="1427" t="s">
        <v>2000</v>
      </c>
      <c r="R603" s="1427" t="s">
        <v>2001</v>
      </c>
      <c r="S603" s="1427" t="s">
        <v>673</v>
      </c>
    </row>
    <row r="604" spans="3:19" ht="63.75">
      <c r="C604" s="1453"/>
      <c r="D604" s="1427">
        <v>5</v>
      </c>
      <c r="E604" s="2693" t="s">
        <v>2002</v>
      </c>
      <c r="F604" s="2694"/>
      <c r="G604" s="2694"/>
      <c r="H604" s="2695"/>
      <c r="I604" s="1548" t="s">
        <v>1093</v>
      </c>
      <c r="J604" s="2696">
        <v>892411</v>
      </c>
      <c r="K604" s="2697"/>
      <c r="L604" s="2698"/>
      <c r="M604" s="1549" t="s">
        <v>681</v>
      </c>
      <c r="N604" s="1549">
        <v>888674</v>
      </c>
      <c r="O604" s="1427" t="s">
        <v>2003</v>
      </c>
      <c r="P604" s="1427" t="s">
        <v>683</v>
      </c>
      <c r="Q604" s="1427" t="s">
        <v>684</v>
      </c>
      <c r="R604" s="1427" t="s">
        <v>2004</v>
      </c>
      <c r="S604" s="1427" t="s">
        <v>704</v>
      </c>
    </row>
    <row r="605" spans="3:19" ht="51">
      <c r="C605" s="1453"/>
      <c r="D605" s="1427">
        <v>6</v>
      </c>
      <c r="E605" s="2573" t="s">
        <v>2005</v>
      </c>
      <c r="F605" s="2639"/>
      <c r="G605" s="2639"/>
      <c r="H605" s="2640"/>
      <c r="I605" s="1427" t="s">
        <v>1093</v>
      </c>
      <c r="J605" s="2576">
        <v>100000</v>
      </c>
      <c r="K605" s="2636"/>
      <c r="L605" s="2637"/>
      <c r="M605" s="1428" t="s">
        <v>676</v>
      </c>
      <c r="N605" s="1428">
        <v>99990</v>
      </c>
      <c r="O605" s="1427" t="s">
        <v>676</v>
      </c>
      <c r="P605" s="1427" t="s">
        <v>750</v>
      </c>
      <c r="Q605" s="1427" t="s">
        <v>751</v>
      </c>
      <c r="R605" s="1427" t="s">
        <v>2006</v>
      </c>
      <c r="S605" s="1427" t="s">
        <v>673</v>
      </c>
    </row>
    <row r="606" spans="3:19" ht="51">
      <c r="C606" s="1453"/>
      <c r="D606" s="1427">
        <v>7</v>
      </c>
      <c r="E606" s="2573" t="s">
        <v>2007</v>
      </c>
      <c r="F606" s="2639"/>
      <c r="G606" s="2639"/>
      <c r="H606" s="2640"/>
      <c r="I606" s="1427" t="s">
        <v>1093</v>
      </c>
      <c r="J606" s="2576">
        <v>60000</v>
      </c>
      <c r="K606" s="2636"/>
      <c r="L606" s="2637"/>
      <c r="M606" s="1428" t="s">
        <v>676</v>
      </c>
      <c r="N606" s="1428">
        <v>39250</v>
      </c>
      <c r="O606" s="1427"/>
      <c r="P606" s="1427" t="s">
        <v>2008</v>
      </c>
      <c r="Q606" s="1427" t="s">
        <v>2009</v>
      </c>
      <c r="R606" s="1427" t="s">
        <v>2010</v>
      </c>
      <c r="S606" s="1427" t="s">
        <v>673</v>
      </c>
    </row>
    <row r="607" spans="3:19" ht="51">
      <c r="C607" s="1453"/>
      <c r="D607" s="1427">
        <v>8</v>
      </c>
      <c r="E607" s="2573" t="s">
        <v>2011</v>
      </c>
      <c r="F607" s="2639"/>
      <c r="G607" s="2639"/>
      <c r="H607" s="2640"/>
      <c r="I607" s="1427" t="s">
        <v>1093</v>
      </c>
      <c r="J607" s="2576">
        <v>100000</v>
      </c>
      <c r="K607" s="2636"/>
      <c r="L607" s="2637"/>
      <c r="M607" s="1428" t="s">
        <v>676</v>
      </c>
      <c r="N607" s="1428">
        <v>70000</v>
      </c>
      <c r="O607" s="1427"/>
      <c r="P607" s="1427" t="s">
        <v>2012</v>
      </c>
      <c r="Q607" s="1427" t="s">
        <v>2013</v>
      </c>
      <c r="R607" s="1427" t="s">
        <v>2014</v>
      </c>
      <c r="S607" s="1427" t="s">
        <v>673</v>
      </c>
    </row>
    <row r="608" spans="3:19" ht="51">
      <c r="C608" s="1453"/>
      <c r="D608" s="1427">
        <v>9</v>
      </c>
      <c r="E608" s="2683" t="s">
        <v>2015</v>
      </c>
      <c r="F608" s="2684"/>
      <c r="G608" s="2684"/>
      <c r="H608" s="2685"/>
      <c r="I608" s="1454" t="s">
        <v>1093</v>
      </c>
      <c r="J608" s="2686">
        <v>100000</v>
      </c>
      <c r="K608" s="2687"/>
      <c r="L608" s="2688"/>
      <c r="M608" s="1550"/>
      <c r="N608" s="1550">
        <v>1565606</v>
      </c>
      <c r="O608" s="1454" t="s">
        <v>2016</v>
      </c>
      <c r="P608" s="1454" t="s">
        <v>670</v>
      </c>
      <c r="Q608" s="1454" t="s">
        <v>671</v>
      </c>
      <c r="R608" s="1454" t="s">
        <v>2017</v>
      </c>
      <c r="S608" s="1454" t="s">
        <v>673</v>
      </c>
    </row>
    <row r="609" spans="3:19" ht="51">
      <c r="C609" s="1453"/>
      <c r="D609" s="1427">
        <v>10</v>
      </c>
      <c r="E609" s="2689" t="s">
        <v>2018</v>
      </c>
      <c r="F609" s="2690"/>
      <c r="G609" s="2690"/>
      <c r="H609" s="2690"/>
      <c r="I609" s="1449" t="s">
        <v>1093</v>
      </c>
      <c r="J609" s="2691">
        <v>100000</v>
      </c>
      <c r="K609" s="2692"/>
      <c r="L609" s="2692"/>
      <c r="M609" s="1450" t="s">
        <v>676</v>
      </c>
      <c r="N609" s="1450">
        <v>99930</v>
      </c>
      <c r="O609" s="1449" t="s">
        <v>676</v>
      </c>
      <c r="P609" s="1449" t="s">
        <v>2019</v>
      </c>
      <c r="Q609" s="1449" t="s">
        <v>2020</v>
      </c>
      <c r="R609" s="1449" t="s">
        <v>2021</v>
      </c>
      <c r="S609" s="1449" t="s">
        <v>673</v>
      </c>
    </row>
    <row r="610" spans="3:19" ht="51">
      <c r="C610" s="1453"/>
      <c r="D610" s="1427">
        <v>11</v>
      </c>
      <c r="E610" s="2675" t="s">
        <v>2022</v>
      </c>
      <c r="F610" s="2676"/>
      <c r="G610" s="2676"/>
      <c r="H610" s="2677"/>
      <c r="I610" s="1427" t="s">
        <v>1093</v>
      </c>
      <c r="J610" s="2678">
        <v>260936</v>
      </c>
      <c r="K610" s="2679"/>
      <c r="L610" s="2680"/>
      <c r="M610" s="1551"/>
      <c r="N610" s="1551">
        <v>260936</v>
      </c>
      <c r="O610" s="1552">
        <v>43098</v>
      </c>
      <c r="P610" s="1454" t="s">
        <v>670</v>
      </c>
      <c r="Q610" s="1454" t="s">
        <v>671</v>
      </c>
      <c r="R610" s="1456"/>
      <c r="S610" s="1449" t="s">
        <v>673</v>
      </c>
    </row>
    <row r="611" spans="3:19" ht="51">
      <c r="C611" s="1453"/>
      <c r="D611" s="1427">
        <v>12</v>
      </c>
      <c r="E611" s="2675" t="s">
        <v>2023</v>
      </c>
      <c r="F611" s="2676"/>
      <c r="G611" s="2676"/>
      <c r="H611" s="2677"/>
      <c r="I611" s="1427" t="s">
        <v>1093</v>
      </c>
      <c r="J611" s="2678">
        <v>99740</v>
      </c>
      <c r="K611" s="2679"/>
      <c r="L611" s="2680"/>
      <c r="M611" s="1551"/>
      <c r="N611" s="1551">
        <v>99740</v>
      </c>
      <c r="O611" s="1553"/>
      <c r="P611" s="1554" t="s">
        <v>683</v>
      </c>
      <c r="Q611" s="1427" t="s">
        <v>684</v>
      </c>
      <c r="R611" s="1456"/>
      <c r="S611" s="1449" t="s">
        <v>673</v>
      </c>
    </row>
    <row r="612" spans="3:19" ht="51">
      <c r="C612" s="1453"/>
      <c r="D612" s="1427">
        <v>13</v>
      </c>
      <c r="E612" s="2681" t="s">
        <v>2024</v>
      </c>
      <c r="F612" s="2681"/>
      <c r="G612" s="2681"/>
      <c r="H612" s="2681"/>
      <c r="I612" s="1449" t="s">
        <v>1093</v>
      </c>
      <c r="J612" s="2682">
        <v>217411</v>
      </c>
      <c r="K612" s="2679"/>
      <c r="L612" s="2680"/>
      <c r="M612" s="1551"/>
      <c r="N612" s="1551">
        <v>217411</v>
      </c>
      <c r="O612" s="1456"/>
      <c r="P612" s="1554" t="s">
        <v>2025</v>
      </c>
      <c r="Q612" s="1456" t="s">
        <v>2026</v>
      </c>
      <c r="R612" s="1456"/>
      <c r="S612" s="1449" t="s">
        <v>673</v>
      </c>
    </row>
    <row r="613" spans="3:19" ht="15">
      <c r="C613" s="1453"/>
      <c r="D613" s="1435"/>
      <c r="E613" s="2589" t="s">
        <v>761</v>
      </c>
      <c r="F613" s="2589"/>
      <c r="G613" s="2589"/>
      <c r="H613" s="2589"/>
      <c r="I613" s="1435"/>
      <c r="J613" s="2590">
        <f>SUM(J600:J612)</f>
        <v>3168475</v>
      </c>
      <c r="K613" s="2591"/>
      <c r="L613" s="2592"/>
      <c r="M613" s="1433"/>
      <c r="N613" s="1433">
        <f>SUM(N600:N612)</f>
        <v>4131181</v>
      </c>
      <c r="O613" s="1434"/>
      <c r="P613" s="1435"/>
      <c r="Q613" s="1435"/>
      <c r="R613" s="1435"/>
      <c r="S613" s="1435"/>
    </row>
    <row r="614" spans="3:19" ht="14.25">
      <c r="C614" s="1419"/>
      <c r="D614" s="2673" t="s">
        <v>2027</v>
      </c>
      <c r="E614" s="2673"/>
      <c r="F614" s="2673"/>
      <c r="G614" s="2673"/>
      <c r="H614" s="2673"/>
      <c r="I614" s="2673"/>
      <c r="J614" s="2673"/>
      <c r="K614" s="2673"/>
      <c r="L614" s="2673"/>
      <c r="M614" s="2673"/>
      <c r="N614" s="2673"/>
      <c r="O614" s="2673"/>
      <c r="P614" s="2673"/>
      <c r="Q614" s="2673"/>
      <c r="R614" s="1462"/>
      <c r="S614" s="1462"/>
    </row>
    <row r="615" spans="3:19" ht="14.25">
      <c r="C615" s="1419"/>
      <c r="D615" s="2674" t="s">
        <v>2028</v>
      </c>
      <c r="E615" s="2674"/>
      <c r="F615" s="2674"/>
      <c r="G615" s="2674"/>
      <c r="H615" s="2674"/>
      <c r="I615" s="2674"/>
      <c r="J615" s="2674"/>
      <c r="K615" s="2674"/>
      <c r="L615" s="2674"/>
      <c r="M615" s="2674"/>
      <c r="N615" s="2674"/>
      <c r="O615" s="2674"/>
      <c r="P615" s="2674"/>
      <c r="Q615" s="2674"/>
      <c r="R615" s="1462"/>
      <c r="S615" s="1462"/>
    </row>
    <row r="616" spans="3:19" ht="14.25">
      <c r="C616" s="1419"/>
      <c r="D616" s="2596"/>
      <c r="E616" s="2596"/>
      <c r="F616" s="2596"/>
      <c r="G616" s="2596"/>
      <c r="H616" s="2596"/>
      <c r="I616" s="2596"/>
      <c r="J616" s="2596"/>
      <c r="K616" s="2596"/>
      <c r="L616" s="2596"/>
      <c r="M616" s="2596"/>
      <c r="N616" s="2596"/>
      <c r="O616" s="2596"/>
      <c r="P616" s="2596"/>
      <c r="Q616" s="2596"/>
      <c r="R616" s="1419"/>
      <c r="S616" s="1419"/>
    </row>
    <row r="617" spans="3:19" ht="15">
      <c r="C617" s="1419"/>
      <c r="D617" s="1419"/>
      <c r="E617" s="1419"/>
      <c r="F617" s="1419"/>
      <c r="G617" s="1419"/>
      <c r="H617" s="1419"/>
      <c r="I617" s="1419"/>
      <c r="J617" s="1419"/>
      <c r="K617" s="1419"/>
      <c r="L617" s="1419"/>
      <c r="M617" s="1419"/>
      <c r="N617" s="1419"/>
      <c r="O617" s="1419"/>
      <c r="P617" s="1437" t="s">
        <v>762</v>
      </c>
      <c r="Q617" s="1419"/>
      <c r="R617" s="1419"/>
      <c r="S617" s="1419"/>
    </row>
    <row r="618" spans="3:19" ht="15">
      <c r="C618" s="1419"/>
      <c r="D618" s="1419"/>
      <c r="E618" s="1419"/>
      <c r="F618" s="1419"/>
      <c r="G618" s="1419"/>
      <c r="H618" s="1419"/>
      <c r="I618" s="1419"/>
      <c r="J618" s="1416"/>
      <c r="K618" s="1416"/>
      <c r="L618" s="1416"/>
      <c r="M618" s="1416"/>
      <c r="N618" s="1416"/>
      <c r="O618" s="1419"/>
      <c r="P618" s="1437" t="s">
        <v>763</v>
      </c>
      <c r="Q618" s="1419"/>
      <c r="R618" s="1419"/>
      <c r="S618" s="1419"/>
    </row>
    <row r="619" spans="3:19" ht="14.25">
      <c r="C619" s="1419"/>
      <c r="D619" s="1418"/>
      <c r="E619" s="1418"/>
      <c r="F619" s="1418"/>
      <c r="G619" s="1418"/>
      <c r="H619" s="1418"/>
      <c r="I619" s="1418"/>
      <c r="J619" s="1417"/>
      <c r="K619" s="1417"/>
      <c r="L619" s="1417"/>
      <c r="M619" s="1417"/>
      <c r="N619" s="1417"/>
      <c r="O619" s="1418"/>
      <c r="P619" s="1418"/>
      <c r="Q619" s="1418"/>
      <c r="R619" s="1418"/>
      <c r="S619" s="1418"/>
    </row>
    <row r="620" spans="3:19" ht="23.25">
      <c r="C620" s="2593" t="s">
        <v>652</v>
      </c>
      <c r="D620" s="2593"/>
      <c r="E620" s="2593"/>
      <c r="F620" s="2593"/>
      <c r="G620" s="2593"/>
      <c r="H620" s="2593"/>
      <c r="I620" s="2593"/>
      <c r="J620" s="2593"/>
      <c r="K620" s="1416"/>
      <c r="L620" s="1416"/>
      <c r="M620" s="1416"/>
      <c r="N620" s="1416"/>
      <c r="O620" s="1419"/>
      <c r="P620" s="1419"/>
      <c r="Q620" s="1419"/>
      <c r="R620" s="1419"/>
      <c r="S620" s="1419"/>
    </row>
    <row r="621" spans="3:19" ht="14.25">
      <c r="C621" s="1419"/>
      <c r="D621" s="1419"/>
      <c r="E621" s="1419"/>
      <c r="F621" s="1419"/>
      <c r="G621" s="1419"/>
      <c r="H621" s="1419"/>
      <c r="I621" s="1419"/>
      <c r="J621" s="1416"/>
      <c r="K621" s="1416"/>
      <c r="L621" s="1416"/>
      <c r="M621" s="1416"/>
      <c r="N621" s="1416"/>
      <c r="O621" s="1419"/>
      <c r="P621" s="1419"/>
      <c r="Q621" s="1419"/>
      <c r="R621" s="1419"/>
      <c r="S621" s="1419"/>
    </row>
    <row r="622" spans="3:19" ht="15">
      <c r="C622" s="2595" t="s">
        <v>653</v>
      </c>
      <c r="D622" s="2595"/>
      <c r="E622" s="2595"/>
      <c r="F622" s="1419"/>
      <c r="G622" s="1422" t="s">
        <v>654</v>
      </c>
      <c r="H622" s="1419"/>
      <c r="I622" s="1419"/>
      <c r="J622" s="1416"/>
      <c r="K622" s="1416"/>
      <c r="L622" s="1416"/>
      <c r="M622" s="1416"/>
      <c r="N622" s="1416"/>
      <c r="O622" s="1419"/>
      <c r="P622" s="1419"/>
      <c r="Q622" s="1419"/>
      <c r="R622" s="1419"/>
      <c r="S622" s="1419"/>
    </row>
    <row r="623" spans="3:19" ht="14.25">
      <c r="C623" s="1419"/>
      <c r="D623" s="1419"/>
      <c r="E623" s="1419"/>
      <c r="F623" s="1419"/>
      <c r="G623" s="1419"/>
      <c r="H623" s="1419"/>
      <c r="I623" s="1419"/>
      <c r="J623" s="1416"/>
      <c r="K623" s="1416"/>
      <c r="L623" s="1416"/>
      <c r="M623" s="1416"/>
      <c r="N623" s="1416"/>
      <c r="O623" s="1419"/>
      <c r="P623" s="1419"/>
      <c r="Q623" s="1419"/>
      <c r="R623" s="1419"/>
      <c r="S623" s="1419"/>
    </row>
    <row r="624" spans="3:19" ht="15">
      <c r="C624" s="2595" t="s">
        <v>655</v>
      </c>
      <c r="D624" s="2595"/>
      <c r="E624" s="2595"/>
      <c r="F624" s="1419"/>
      <c r="G624" s="2597" t="s">
        <v>2029</v>
      </c>
      <c r="H624" s="2596"/>
      <c r="I624" s="2596"/>
      <c r="J624" s="2596"/>
      <c r="K624" s="2596"/>
      <c r="L624" s="1416"/>
      <c r="M624" s="1416"/>
      <c r="N624" s="1416"/>
      <c r="O624" s="1419"/>
      <c r="P624" s="1419"/>
      <c r="Q624" s="1419"/>
      <c r="R624" s="1419"/>
      <c r="S624" s="1419"/>
    </row>
    <row r="625" spans="3:19" ht="14.25">
      <c r="C625" s="1505"/>
      <c r="D625" s="1418"/>
      <c r="E625" s="1418"/>
      <c r="F625" s="1418"/>
      <c r="G625" s="1418"/>
      <c r="H625" s="1418"/>
      <c r="I625" s="1418"/>
      <c r="J625" s="1417"/>
      <c r="K625" s="1417"/>
      <c r="L625" s="1417"/>
      <c r="M625" s="1417"/>
      <c r="N625" s="1417"/>
      <c r="O625" s="1418"/>
      <c r="P625" s="1418"/>
      <c r="Q625" s="1418"/>
      <c r="R625" s="1418"/>
      <c r="S625" s="1418"/>
    </row>
    <row r="626" spans="3:19" ht="191.25">
      <c r="C626" s="1418"/>
      <c r="D626" s="1426" t="s">
        <v>657</v>
      </c>
      <c r="E626" s="2588" t="s">
        <v>587</v>
      </c>
      <c r="F626" s="2615"/>
      <c r="G626" s="2615"/>
      <c r="H626" s="2616"/>
      <c r="I626" s="1426" t="s">
        <v>658</v>
      </c>
      <c r="J626" s="2588" t="s">
        <v>659</v>
      </c>
      <c r="K626" s="2615"/>
      <c r="L626" s="2616"/>
      <c r="M626" s="1426" t="s">
        <v>660</v>
      </c>
      <c r="N626" s="1426" t="s">
        <v>661</v>
      </c>
      <c r="O626" s="1426" t="s">
        <v>662</v>
      </c>
      <c r="P626" s="1426" t="s">
        <v>663</v>
      </c>
      <c r="Q626" s="1426" t="s">
        <v>664</v>
      </c>
      <c r="R626" s="1426" t="s">
        <v>765</v>
      </c>
      <c r="S626" s="1426" t="s">
        <v>766</v>
      </c>
    </row>
    <row r="627" spans="3:19" ht="25.5">
      <c r="C627" s="1555"/>
      <c r="D627" s="2573">
        <v>1</v>
      </c>
      <c r="E627" s="2573" t="s">
        <v>2030</v>
      </c>
      <c r="F627" s="2657"/>
      <c r="G627" s="2657"/>
      <c r="H627" s="2658"/>
      <c r="I627" s="2573" t="s">
        <v>699</v>
      </c>
      <c r="J627" s="2576">
        <v>166667</v>
      </c>
      <c r="K627" s="2651"/>
      <c r="L627" s="2652"/>
      <c r="M627" s="1427" t="s">
        <v>688</v>
      </c>
      <c r="N627" s="1428">
        <v>116745</v>
      </c>
      <c r="O627" s="1427" t="s">
        <v>2031</v>
      </c>
      <c r="P627" s="1427" t="s">
        <v>915</v>
      </c>
      <c r="Q627" s="1427" t="s">
        <v>916</v>
      </c>
      <c r="R627" s="1427" t="s">
        <v>2032</v>
      </c>
      <c r="S627" s="1427" t="s">
        <v>673</v>
      </c>
    </row>
    <row r="628" spans="3:19" ht="25.5">
      <c r="C628" s="1555"/>
      <c r="D628" s="2656"/>
      <c r="E628" s="2662"/>
      <c r="F628" s="2663"/>
      <c r="G628" s="2663"/>
      <c r="H628" s="2664"/>
      <c r="I628" s="2656"/>
      <c r="J628" s="2576">
        <v>325000</v>
      </c>
      <c r="K628" s="2651"/>
      <c r="L628" s="2652"/>
      <c r="M628" s="1427" t="s">
        <v>688</v>
      </c>
      <c r="N628" s="1428">
        <v>151470</v>
      </c>
      <c r="O628" s="1427" t="s">
        <v>2033</v>
      </c>
      <c r="P628" s="1427" t="s">
        <v>915</v>
      </c>
      <c r="Q628" s="1427" t="s">
        <v>916</v>
      </c>
      <c r="R628" s="1427" t="s">
        <v>1024</v>
      </c>
      <c r="S628" s="1427" t="s">
        <v>704</v>
      </c>
    </row>
    <row r="629" spans="3:19" ht="51">
      <c r="C629" s="1555"/>
      <c r="D629" s="1427">
        <v>2</v>
      </c>
      <c r="E629" s="2573" t="s">
        <v>2034</v>
      </c>
      <c r="F629" s="2615"/>
      <c r="G629" s="2615"/>
      <c r="H629" s="2616"/>
      <c r="I629" s="1427" t="s">
        <v>1093</v>
      </c>
      <c r="J629" s="2576">
        <v>41667</v>
      </c>
      <c r="K629" s="2651"/>
      <c r="L629" s="2652"/>
      <c r="M629" s="1427" t="s">
        <v>676</v>
      </c>
      <c r="N629" s="1428">
        <v>40040</v>
      </c>
      <c r="O629" s="1427" t="s">
        <v>676</v>
      </c>
      <c r="P629" s="1427" t="s">
        <v>778</v>
      </c>
      <c r="Q629" s="1427" t="s">
        <v>779</v>
      </c>
      <c r="R629" s="1427" t="s">
        <v>2035</v>
      </c>
      <c r="S629" s="1427" t="s">
        <v>673</v>
      </c>
    </row>
    <row r="630" spans="3:19" ht="51">
      <c r="C630" s="1555"/>
      <c r="D630" s="1427">
        <v>3</v>
      </c>
      <c r="E630" s="2573" t="s">
        <v>2036</v>
      </c>
      <c r="F630" s="2615"/>
      <c r="G630" s="2615"/>
      <c r="H630" s="2616"/>
      <c r="I630" s="1427" t="s">
        <v>1093</v>
      </c>
      <c r="J630" s="2576">
        <v>116667</v>
      </c>
      <c r="K630" s="2651"/>
      <c r="L630" s="2652"/>
      <c r="M630" s="1427" t="s">
        <v>688</v>
      </c>
      <c r="N630" s="1428">
        <v>150000</v>
      </c>
      <c r="O630" s="1427" t="s">
        <v>2037</v>
      </c>
      <c r="P630" s="1427" t="s">
        <v>2038</v>
      </c>
      <c r="Q630" s="1427" t="s">
        <v>2039</v>
      </c>
      <c r="R630" s="1427" t="s">
        <v>2040</v>
      </c>
      <c r="S630" s="1427" t="s">
        <v>704</v>
      </c>
    </row>
    <row r="631" spans="3:19" ht="51">
      <c r="C631" s="1555"/>
      <c r="D631" s="1427">
        <v>4</v>
      </c>
      <c r="E631" s="2573" t="s">
        <v>2041</v>
      </c>
      <c r="F631" s="2615"/>
      <c r="G631" s="2615"/>
      <c r="H631" s="2616"/>
      <c r="I631" s="1427" t="s">
        <v>1093</v>
      </c>
      <c r="J631" s="2576">
        <v>125000</v>
      </c>
      <c r="K631" s="2651"/>
      <c r="L631" s="2652"/>
      <c r="M631" s="1427" t="s">
        <v>688</v>
      </c>
      <c r="N631" s="1428">
        <v>150000</v>
      </c>
      <c r="O631" s="1427" t="s">
        <v>2037</v>
      </c>
      <c r="P631" s="1427" t="s">
        <v>2038</v>
      </c>
      <c r="Q631" s="1427" t="s">
        <v>2039</v>
      </c>
      <c r="R631" s="1427" t="s">
        <v>2042</v>
      </c>
      <c r="S631" s="1427" t="s">
        <v>704</v>
      </c>
    </row>
    <row r="632" spans="3:19" ht="63.75">
      <c r="C632" s="1555"/>
      <c r="D632" s="1427">
        <v>5</v>
      </c>
      <c r="E632" s="2573" t="s">
        <v>2043</v>
      </c>
      <c r="F632" s="2615"/>
      <c r="G632" s="2615"/>
      <c r="H632" s="2616"/>
      <c r="I632" s="1427" t="s">
        <v>1119</v>
      </c>
      <c r="J632" s="2576">
        <v>41666</v>
      </c>
      <c r="K632" s="2651"/>
      <c r="L632" s="2652"/>
      <c r="M632" s="1427" t="s">
        <v>676</v>
      </c>
      <c r="N632" s="1428">
        <v>40390</v>
      </c>
      <c r="O632" s="1427" t="s">
        <v>676</v>
      </c>
      <c r="P632" s="1427" t="s">
        <v>2044</v>
      </c>
      <c r="Q632" s="1427" t="s">
        <v>2045</v>
      </c>
      <c r="R632" s="1427" t="s">
        <v>2046</v>
      </c>
      <c r="S632" s="1427" t="s">
        <v>673</v>
      </c>
    </row>
    <row r="633" spans="3:19" ht="51">
      <c r="C633" s="1555"/>
      <c r="D633" s="1427">
        <v>6</v>
      </c>
      <c r="E633" s="2573" t="s">
        <v>833</v>
      </c>
      <c r="F633" s="2615"/>
      <c r="G633" s="2615"/>
      <c r="H633" s="2616"/>
      <c r="I633" s="1427" t="s">
        <v>1093</v>
      </c>
      <c r="J633" s="2576">
        <v>41667</v>
      </c>
      <c r="K633" s="2651"/>
      <c r="L633" s="2652"/>
      <c r="M633" s="1427" t="s">
        <v>676</v>
      </c>
      <c r="N633" s="1428">
        <v>21693</v>
      </c>
      <c r="O633" s="1427" t="s">
        <v>676</v>
      </c>
      <c r="P633" s="1427" t="s">
        <v>2047</v>
      </c>
      <c r="Q633" s="1427" t="s">
        <v>2048</v>
      </c>
      <c r="R633" s="1427" t="s">
        <v>2049</v>
      </c>
      <c r="S633" s="1427" t="s">
        <v>704</v>
      </c>
    </row>
    <row r="634" spans="3:19" ht="51">
      <c r="C634" s="1555"/>
      <c r="D634" s="1427">
        <v>7</v>
      </c>
      <c r="E634" s="2573" t="s">
        <v>2050</v>
      </c>
      <c r="F634" s="2615"/>
      <c r="G634" s="2615"/>
      <c r="H634" s="2616"/>
      <c r="I634" s="1427" t="s">
        <v>1093</v>
      </c>
      <c r="J634" s="2576">
        <v>50000</v>
      </c>
      <c r="K634" s="2651"/>
      <c r="L634" s="2652"/>
      <c r="M634" s="1427" t="s">
        <v>676</v>
      </c>
      <c r="N634" s="1428">
        <v>47100</v>
      </c>
      <c r="O634" s="1427" t="s">
        <v>676</v>
      </c>
      <c r="P634" s="1427" t="s">
        <v>2051</v>
      </c>
      <c r="Q634" s="1427" t="s">
        <v>2052</v>
      </c>
      <c r="R634" s="1427" t="s">
        <v>2053</v>
      </c>
      <c r="S634" s="1427" t="s">
        <v>673</v>
      </c>
    </row>
    <row r="635" spans="3:19" ht="102">
      <c r="C635" s="1555"/>
      <c r="D635" s="1427">
        <v>8</v>
      </c>
      <c r="E635" s="2573" t="s">
        <v>2054</v>
      </c>
      <c r="F635" s="2615"/>
      <c r="G635" s="2615"/>
      <c r="H635" s="2616"/>
      <c r="I635" s="1427" t="s">
        <v>1039</v>
      </c>
      <c r="J635" s="2576">
        <v>2291836</v>
      </c>
      <c r="K635" s="2651"/>
      <c r="L635" s="2652"/>
      <c r="M635" s="1427" t="s">
        <v>892</v>
      </c>
      <c r="N635" s="1428">
        <v>2019127.6</v>
      </c>
      <c r="O635" s="1427" t="s">
        <v>2055</v>
      </c>
      <c r="P635" s="1427" t="s">
        <v>2056</v>
      </c>
      <c r="Q635" s="1427" t="s">
        <v>2057</v>
      </c>
      <c r="R635" s="1427" t="s">
        <v>2058</v>
      </c>
      <c r="S635" s="1427" t="s">
        <v>673</v>
      </c>
    </row>
    <row r="636" spans="3:19" ht="102">
      <c r="C636" s="1555"/>
      <c r="D636" s="1427">
        <v>9</v>
      </c>
      <c r="E636" s="2573" t="s">
        <v>2059</v>
      </c>
      <c r="F636" s="2615"/>
      <c r="G636" s="2615"/>
      <c r="H636" s="2616"/>
      <c r="I636" s="1427" t="s">
        <v>1039</v>
      </c>
      <c r="J636" s="2576">
        <v>1703175.8</v>
      </c>
      <c r="K636" s="2651"/>
      <c r="L636" s="2652"/>
      <c r="M636" s="1427" t="s">
        <v>892</v>
      </c>
      <c r="N636" s="1428">
        <v>1703175.76</v>
      </c>
      <c r="O636" s="1427" t="s">
        <v>2060</v>
      </c>
      <c r="P636" s="1427" t="s">
        <v>2056</v>
      </c>
      <c r="Q636" s="1427" t="s">
        <v>2057</v>
      </c>
      <c r="R636" s="1427" t="s">
        <v>2061</v>
      </c>
      <c r="S636" s="1427" t="s">
        <v>704</v>
      </c>
    </row>
    <row r="637" spans="3:19" ht="102">
      <c r="C637" s="1555"/>
      <c r="D637" s="1427">
        <v>10</v>
      </c>
      <c r="E637" s="2573" t="s">
        <v>2062</v>
      </c>
      <c r="F637" s="2615"/>
      <c r="G637" s="2615"/>
      <c r="H637" s="2616"/>
      <c r="I637" s="1427" t="s">
        <v>1039</v>
      </c>
      <c r="J637" s="2576">
        <v>265550</v>
      </c>
      <c r="K637" s="2651"/>
      <c r="L637" s="2652"/>
      <c r="M637" s="1427"/>
      <c r="N637" s="1428">
        <v>265550</v>
      </c>
      <c r="O637" s="1427" t="s">
        <v>2063</v>
      </c>
      <c r="P637" s="1427" t="s">
        <v>2064</v>
      </c>
      <c r="Q637" s="1427" t="s">
        <v>2065</v>
      </c>
      <c r="R637" s="1427" t="s">
        <v>2066</v>
      </c>
      <c r="S637" s="1427" t="s">
        <v>704</v>
      </c>
    </row>
    <row r="638" spans="3:19" ht="25.5">
      <c r="C638" s="1555"/>
      <c r="D638" s="2573">
        <v>13</v>
      </c>
      <c r="E638" s="2573" t="s">
        <v>2067</v>
      </c>
      <c r="F638" s="2657"/>
      <c r="G638" s="2657"/>
      <c r="H638" s="2658"/>
      <c r="I638" s="2573" t="s">
        <v>1183</v>
      </c>
      <c r="J638" s="2576">
        <v>330000</v>
      </c>
      <c r="K638" s="2665"/>
      <c r="L638" s="2666"/>
      <c r="M638" s="2573" t="s">
        <v>892</v>
      </c>
      <c r="N638" s="1428">
        <v>190000</v>
      </c>
      <c r="O638" s="1427" t="s">
        <v>2068</v>
      </c>
      <c r="P638" s="1427" t="s">
        <v>2069</v>
      </c>
      <c r="Q638" s="1427" t="s">
        <v>2070</v>
      </c>
      <c r="R638" s="1427" t="s">
        <v>2071</v>
      </c>
      <c r="S638" s="1427" t="s">
        <v>673</v>
      </c>
    </row>
    <row r="639" spans="3:19" ht="25.5">
      <c r="C639" s="1555"/>
      <c r="D639" s="2655"/>
      <c r="E639" s="2659"/>
      <c r="F639" s="2660"/>
      <c r="G639" s="2660"/>
      <c r="H639" s="2661"/>
      <c r="I639" s="2655"/>
      <c r="J639" s="2667"/>
      <c r="K639" s="2668"/>
      <c r="L639" s="2669"/>
      <c r="M639" s="2655"/>
      <c r="N639" s="1428">
        <v>600000</v>
      </c>
      <c r="O639" s="1427" t="s">
        <v>2068</v>
      </c>
      <c r="P639" s="1427" t="s">
        <v>1139</v>
      </c>
      <c r="Q639" s="1427" t="s">
        <v>1140</v>
      </c>
      <c r="R639" s="1427" t="s">
        <v>2071</v>
      </c>
      <c r="S639" s="1427" t="s">
        <v>673</v>
      </c>
    </row>
    <row r="640" spans="3:19" ht="25.5">
      <c r="C640" s="1555"/>
      <c r="D640" s="2655"/>
      <c r="E640" s="2659"/>
      <c r="F640" s="2660"/>
      <c r="G640" s="2660"/>
      <c r="H640" s="2661"/>
      <c r="I640" s="2655"/>
      <c r="J640" s="2667"/>
      <c r="K640" s="2668"/>
      <c r="L640" s="2669"/>
      <c r="M640" s="2655"/>
      <c r="N640" s="1428">
        <v>1441400</v>
      </c>
      <c r="O640" s="1427" t="s">
        <v>2068</v>
      </c>
      <c r="P640" s="1427" t="s">
        <v>1221</v>
      </c>
      <c r="Q640" s="1427" t="s">
        <v>1222</v>
      </c>
      <c r="R640" s="1427" t="s">
        <v>2071</v>
      </c>
      <c r="S640" s="1427" t="s">
        <v>673</v>
      </c>
    </row>
    <row r="641" spans="3:20" ht="25.5">
      <c r="C641" s="1555"/>
      <c r="D641" s="2655"/>
      <c r="E641" s="2659"/>
      <c r="F641" s="2660"/>
      <c r="G641" s="2660"/>
      <c r="H641" s="2661"/>
      <c r="I641" s="2655"/>
      <c r="J641" s="2670"/>
      <c r="K641" s="2671"/>
      <c r="L641" s="2672"/>
      <c r="M641" s="2656"/>
      <c r="N641" s="1428">
        <v>906580</v>
      </c>
      <c r="O641" s="1427" t="s">
        <v>2068</v>
      </c>
      <c r="P641" s="1427" t="s">
        <v>1139</v>
      </c>
      <c r="Q641" s="1427" t="s">
        <v>1140</v>
      </c>
      <c r="R641" s="1427" t="s">
        <v>2071</v>
      </c>
      <c r="S641" s="1427" t="s">
        <v>673</v>
      </c>
    </row>
    <row r="642" spans="3:20" ht="25.5">
      <c r="C642" s="1555"/>
      <c r="D642" s="2655"/>
      <c r="E642" s="2659"/>
      <c r="F642" s="2660"/>
      <c r="G642" s="2660"/>
      <c r="H642" s="2661"/>
      <c r="I642" s="2655"/>
      <c r="J642" s="2576">
        <v>425722</v>
      </c>
      <c r="K642" s="2651"/>
      <c r="L642" s="2652"/>
      <c r="M642" s="1427"/>
      <c r="N642" s="1428">
        <v>425722</v>
      </c>
      <c r="O642" s="1427" t="s">
        <v>2063</v>
      </c>
      <c r="P642" s="1427" t="s">
        <v>1139</v>
      </c>
      <c r="Q642" s="1427" t="s">
        <v>1140</v>
      </c>
      <c r="R642" s="1427" t="s">
        <v>2072</v>
      </c>
      <c r="S642" s="1427" t="s">
        <v>704</v>
      </c>
    </row>
    <row r="643" spans="3:20" ht="51">
      <c r="C643" s="1555"/>
      <c r="D643" s="2656"/>
      <c r="E643" s="2662"/>
      <c r="F643" s="2663"/>
      <c r="G643" s="2663"/>
      <c r="H643" s="2664"/>
      <c r="I643" s="2656"/>
      <c r="J643" s="2576">
        <v>3137980</v>
      </c>
      <c r="K643" s="2651"/>
      <c r="L643" s="2652"/>
      <c r="M643" s="1427" t="s">
        <v>892</v>
      </c>
      <c r="N643" s="1428">
        <v>3137980</v>
      </c>
      <c r="O643" s="1427" t="s">
        <v>1040</v>
      </c>
      <c r="P643" s="1427" t="s">
        <v>1221</v>
      </c>
      <c r="Q643" s="1427" t="s">
        <v>1222</v>
      </c>
      <c r="R643" s="1427" t="s">
        <v>2073</v>
      </c>
      <c r="S643" s="1427" t="s">
        <v>704</v>
      </c>
    </row>
    <row r="644" spans="3:20" ht="51">
      <c r="C644" s="1555"/>
      <c r="D644" s="1427">
        <v>14</v>
      </c>
      <c r="E644" s="2573" t="s">
        <v>2074</v>
      </c>
      <c r="F644" s="2615"/>
      <c r="G644" s="2615"/>
      <c r="H644" s="2616"/>
      <c r="I644" s="1427" t="s">
        <v>1746</v>
      </c>
      <c r="J644" s="2576">
        <v>487500</v>
      </c>
      <c r="K644" s="2651"/>
      <c r="L644" s="2652"/>
      <c r="M644" s="1427" t="s">
        <v>688</v>
      </c>
      <c r="N644" s="1428">
        <v>446000</v>
      </c>
      <c r="O644" s="1427" t="s">
        <v>2075</v>
      </c>
      <c r="P644" s="1427" t="s">
        <v>903</v>
      </c>
      <c r="Q644" s="1427" t="s">
        <v>904</v>
      </c>
      <c r="R644" s="1427" t="s">
        <v>1024</v>
      </c>
      <c r="S644" s="1427" t="s">
        <v>704</v>
      </c>
    </row>
    <row r="645" spans="3:20" ht="15.75">
      <c r="C645" s="1555"/>
      <c r="D645" s="1435"/>
      <c r="E645" s="2589" t="s">
        <v>761</v>
      </c>
      <c r="F645" s="2589"/>
      <c r="G645" s="2589"/>
      <c r="H645" s="2589"/>
      <c r="I645" s="1435"/>
      <c r="J645" s="2590">
        <f>SUM(J627:J644)</f>
        <v>9550097.8000000007</v>
      </c>
      <c r="K645" s="2591"/>
      <c r="L645" s="2592"/>
      <c r="M645" s="1433"/>
      <c r="N645" s="1433">
        <f>SUM(N627:N644)</f>
        <v>11852973.359999999</v>
      </c>
      <c r="O645" s="1434"/>
      <c r="P645" s="1435"/>
      <c r="Q645" s="1435"/>
      <c r="R645" s="1435"/>
      <c r="S645" s="1435"/>
    </row>
    <row r="647" spans="3:20" ht="23.25">
      <c r="D647" s="2653" t="s">
        <v>652</v>
      </c>
      <c r="E647" s="2654"/>
      <c r="F647" s="2654"/>
      <c r="G647" s="2654"/>
      <c r="H647" s="2654"/>
      <c r="I647" s="2654"/>
      <c r="J647" s="2654"/>
      <c r="K647" s="2654"/>
      <c r="L647" s="1556"/>
      <c r="M647" s="1556"/>
      <c r="N647" s="1556"/>
      <c r="O647" s="1556"/>
      <c r="P647" s="1557"/>
      <c r="Q647" s="1557"/>
      <c r="R647" s="1557"/>
      <c r="S647" s="1557"/>
      <c r="T647" s="1557"/>
    </row>
    <row r="648" spans="3:20" ht="15">
      <c r="D648" s="1557"/>
      <c r="E648" s="1557"/>
      <c r="F648" s="1557"/>
      <c r="G648" s="1557"/>
      <c r="H648" s="1557"/>
      <c r="I648" s="1557"/>
      <c r="J648" s="1557"/>
      <c r="K648" s="1556"/>
      <c r="L648" s="1556"/>
      <c r="M648" s="1556"/>
      <c r="N648" s="1556"/>
      <c r="O648" s="1556"/>
      <c r="P648" s="1557"/>
      <c r="Q648" s="1557"/>
      <c r="R648" s="1557"/>
      <c r="S648" s="1557"/>
      <c r="T648" s="1557"/>
    </row>
    <row r="649" spans="3:20" ht="15">
      <c r="D649" s="2648" t="s">
        <v>653</v>
      </c>
      <c r="E649" s="2649"/>
      <c r="F649" s="2649"/>
      <c r="G649" s="1557"/>
      <c r="H649" s="1558" t="s">
        <v>654</v>
      </c>
      <c r="I649" s="1557"/>
      <c r="J649" s="1557"/>
      <c r="K649" s="1556"/>
      <c r="L649" s="1556"/>
      <c r="M649" s="1556"/>
      <c r="N649" s="1556"/>
      <c r="O649" s="1556"/>
      <c r="P649" s="1557"/>
      <c r="Q649" s="1557"/>
      <c r="R649" s="1557"/>
      <c r="S649" s="1557"/>
      <c r="T649" s="1557"/>
    </row>
    <row r="650" spans="3:20" ht="15">
      <c r="D650" s="1557"/>
      <c r="E650" s="1557"/>
      <c r="F650" s="1557"/>
      <c r="G650" s="1557"/>
      <c r="H650" s="1557"/>
      <c r="I650" s="1557"/>
      <c r="J650" s="1557"/>
      <c r="K650" s="1556"/>
      <c r="L650" s="1556"/>
      <c r="M650" s="1556"/>
      <c r="N650" s="1556"/>
      <c r="O650" s="1556"/>
      <c r="P650" s="1557"/>
      <c r="Q650" s="1557"/>
      <c r="R650" s="1557"/>
      <c r="S650" s="1557"/>
      <c r="T650" s="1557"/>
    </row>
    <row r="651" spans="3:20" ht="15">
      <c r="D651" s="2648" t="s">
        <v>655</v>
      </c>
      <c r="E651" s="2649"/>
      <c r="F651" s="2649"/>
      <c r="G651" s="1557"/>
      <c r="H651" s="2650" t="s">
        <v>27</v>
      </c>
      <c r="I651" s="2649"/>
      <c r="J651" s="2649"/>
      <c r="K651" s="2649"/>
      <c r="L651" s="2649"/>
      <c r="M651" s="1556"/>
      <c r="N651" s="1556"/>
      <c r="O651" s="1556"/>
      <c r="P651" s="1557"/>
      <c r="Q651" s="1557"/>
      <c r="R651" s="1557"/>
      <c r="S651" s="1557"/>
      <c r="T651" s="1557"/>
    </row>
    <row r="652" spans="3:20" ht="15">
      <c r="D652" s="1557"/>
      <c r="E652" s="1557"/>
      <c r="F652" s="1557"/>
      <c r="G652" s="1557"/>
      <c r="H652" s="1557"/>
      <c r="I652" s="1557"/>
      <c r="J652" s="1557"/>
      <c r="K652" s="1556"/>
      <c r="L652" s="1556"/>
      <c r="M652" s="1556"/>
      <c r="N652" s="1556"/>
      <c r="O652" s="1556"/>
      <c r="P652" s="1557"/>
      <c r="Q652" s="1557"/>
      <c r="R652" s="1557"/>
      <c r="S652" s="1557"/>
      <c r="T652" s="1557"/>
    </row>
    <row r="653" spans="3:20" ht="357">
      <c r="D653" s="1425"/>
      <c r="E653" s="1426" t="s">
        <v>657</v>
      </c>
      <c r="F653" s="2588" t="s">
        <v>587</v>
      </c>
      <c r="G653" s="2574"/>
      <c r="H653" s="2574"/>
      <c r="I653" s="2575"/>
      <c r="J653" s="1426" t="s">
        <v>658</v>
      </c>
      <c r="K653" s="2588" t="s">
        <v>659</v>
      </c>
      <c r="L653" s="2574"/>
      <c r="M653" s="2575"/>
      <c r="N653" s="1426" t="s">
        <v>660</v>
      </c>
      <c r="O653" s="1426" t="s">
        <v>661</v>
      </c>
      <c r="P653" s="1426" t="s">
        <v>662</v>
      </c>
      <c r="Q653" s="1426" t="s">
        <v>663</v>
      </c>
      <c r="R653" s="1426" t="s">
        <v>664</v>
      </c>
      <c r="S653" s="1426" t="s">
        <v>665</v>
      </c>
      <c r="T653" s="1426" t="s">
        <v>666</v>
      </c>
    </row>
    <row r="654" spans="3:20" ht="229.5">
      <c r="D654" s="1425"/>
      <c r="E654" s="1427">
        <v>1</v>
      </c>
      <c r="F654" s="2573" t="s">
        <v>2076</v>
      </c>
      <c r="G654" s="2574"/>
      <c r="H654" s="2574"/>
      <c r="I654" s="2575"/>
      <c r="J654" s="1427" t="s">
        <v>2077</v>
      </c>
      <c r="K654" s="2576">
        <v>105000</v>
      </c>
      <c r="L654" s="2577"/>
      <c r="M654" s="2578"/>
      <c r="N654" s="1428" t="s">
        <v>688</v>
      </c>
      <c r="O654" s="1428">
        <v>97000</v>
      </c>
      <c r="P654" s="1427" t="s">
        <v>2078</v>
      </c>
      <c r="Q654" s="1427" t="s">
        <v>2079</v>
      </c>
      <c r="R654" s="1427" t="s">
        <v>2080</v>
      </c>
      <c r="S654" s="1427" t="s">
        <v>2081</v>
      </c>
      <c r="T654" s="1427" t="s">
        <v>673</v>
      </c>
    </row>
    <row r="655" spans="3:20" ht="318.75">
      <c r="D655" s="1425"/>
      <c r="E655" s="1427">
        <v>2</v>
      </c>
      <c r="F655" s="2573" t="s">
        <v>2082</v>
      </c>
      <c r="G655" s="2574"/>
      <c r="H655" s="2574"/>
      <c r="I655" s="2575"/>
      <c r="J655" s="1427" t="s">
        <v>1826</v>
      </c>
      <c r="K655" s="2576">
        <v>100000</v>
      </c>
      <c r="L655" s="2577"/>
      <c r="M655" s="2578"/>
      <c r="N655" s="1428" t="s">
        <v>676</v>
      </c>
      <c r="O655" s="1428">
        <v>88500</v>
      </c>
      <c r="P655" s="1427" t="s">
        <v>676</v>
      </c>
      <c r="Q655" s="1427" t="s">
        <v>2083</v>
      </c>
      <c r="R655" s="1427" t="s">
        <v>2084</v>
      </c>
      <c r="S655" s="1427" t="s">
        <v>2085</v>
      </c>
      <c r="T655" s="1427" t="s">
        <v>704</v>
      </c>
    </row>
    <row r="656" spans="3:20" ht="140.25">
      <c r="D656" s="1425"/>
      <c r="E656" s="1427">
        <v>3</v>
      </c>
      <c r="F656" s="2573" t="s">
        <v>2086</v>
      </c>
      <c r="G656" s="2574"/>
      <c r="H656" s="2574"/>
      <c r="I656" s="2575"/>
      <c r="J656" s="1427" t="s">
        <v>1898</v>
      </c>
      <c r="K656" s="2576">
        <v>670000</v>
      </c>
      <c r="L656" s="2577"/>
      <c r="M656" s="2578"/>
      <c r="N656" s="1428" t="s">
        <v>688</v>
      </c>
      <c r="O656" s="1428">
        <v>383000</v>
      </c>
      <c r="P656" s="1427" t="s">
        <v>2087</v>
      </c>
      <c r="Q656" s="1427" t="s">
        <v>2088</v>
      </c>
      <c r="R656" s="1427" t="s">
        <v>2089</v>
      </c>
      <c r="S656" s="1427" t="s">
        <v>2090</v>
      </c>
      <c r="T656" s="1427" t="s">
        <v>704</v>
      </c>
    </row>
    <row r="657" spans="4:20" ht="140.25">
      <c r="D657" s="1425"/>
      <c r="E657" s="1427">
        <v>4</v>
      </c>
      <c r="F657" s="2573" t="s">
        <v>2091</v>
      </c>
      <c r="G657" s="2574"/>
      <c r="H657" s="2574"/>
      <c r="I657" s="2575"/>
      <c r="J657" s="1427" t="s">
        <v>2092</v>
      </c>
      <c r="K657" s="2576">
        <v>130000</v>
      </c>
      <c r="L657" s="2577"/>
      <c r="M657" s="2578"/>
      <c r="N657" s="1428" t="s">
        <v>688</v>
      </c>
      <c r="O657" s="1428">
        <v>28000</v>
      </c>
      <c r="P657" s="1427" t="s">
        <v>2093</v>
      </c>
      <c r="Q657" s="1427" t="s">
        <v>2094</v>
      </c>
      <c r="R657" s="1427" t="s">
        <v>2095</v>
      </c>
      <c r="S657" s="1427" t="s">
        <v>700</v>
      </c>
      <c r="T657" s="1427" t="s">
        <v>673</v>
      </c>
    </row>
    <row r="658" spans="4:20" ht="140.25">
      <c r="D658" s="1425"/>
      <c r="E658" s="1427">
        <v>5</v>
      </c>
      <c r="F658" s="2573" t="s">
        <v>2096</v>
      </c>
      <c r="G658" s="2574"/>
      <c r="H658" s="2574"/>
      <c r="I658" s="2575"/>
      <c r="J658" s="1427" t="s">
        <v>699</v>
      </c>
      <c r="K658" s="2576">
        <v>205000</v>
      </c>
      <c r="L658" s="2577"/>
      <c r="M658" s="2578"/>
      <c r="N658" s="1428" t="s">
        <v>688</v>
      </c>
      <c r="O658" s="1428">
        <v>193000</v>
      </c>
      <c r="P658" s="1427" t="s">
        <v>2097</v>
      </c>
      <c r="Q658" s="1427" t="s">
        <v>2098</v>
      </c>
      <c r="R658" s="1427" t="s">
        <v>2099</v>
      </c>
      <c r="S658" s="1427" t="s">
        <v>2090</v>
      </c>
      <c r="T658" s="1427" t="s">
        <v>673</v>
      </c>
    </row>
    <row r="659" spans="4:20" ht="318.75">
      <c r="D659" s="1425"/>
      <c r="E659" s="1427">
        <v>6</v>
      </c>
      <c r="F659" s="2573" t="s">
        <v>2100</v>
      </c>
      <c r="G659" s="2574"/>
      <c r="H659" s="2574"/>
      <c r="I659" s="2575"/>
      <c r="J659" s="1427" t="s">
        <v>1826</v>
      </c>
      <c r="K659" s="2576">
        <v>420000</v>
      </c>
      <c r="L659" s="2577"/>
      <c r="M659" s="2578"/>
      <c r="N659" s="1428" t="s">
        <v>688</v>
      </c>
      <c r="O659" s="1428">
        <v>285000</v>
      </c>
      <c r="P659" s="1427" t="s">
        <v>2101</v>
      </c>
      <c r="Q659" s="1427" t="s">
        <v>2102</v>
      </c>
      <c r="R659" s="1427" t="s">
        <v>2103</v>
      </c>
      <c r="S659" s="1427" t="s">
        <v>2104</v>
      </c>
      <c r="T659" s="1427" t="s">
        <v>704</v>
      </c>
    </row>
    <row r="660" spans="4:20" ht="204">
      <c r="D660" s="1425"/>
      <c r="E660" s="1427">
        <v>7</v>
      </c>
      <c r="F660" s="2573" t="s">
        <v>2105</v>
      </c>
      <c r="G660" s="2574"/>
      <c r="H660" s="2574"/>
      <c r="I660" s="2575"/>
      <c r="J660" s="1427" t="s">
        <v>1218</v>
      </c>
      <c r="K660" s="2576">
        <v>23905808</v>
      </c>
      <c r="L660" s="2577"/>
      <c r="M660" s="2578"/>
      <c r="N660" s="1428" t="s">
        <v>2106</v>
      </c>
      <c r="O660" s="1428">
        <v>19000000</v>
      </c>
      <c r="P660" s="1427" t="s">
        <v>2107</v>
      </c>
      <c r="Q660" s="1427" t="s">
        <v>1139</v>
      </c>
      <c r="R660" s="1427" t="s">
        <v>1140</v>
      </c>
      <c r="S660" s="1427" t="s">
        <v>2108</v>
      </c>
      <c r="T660" s="1427" t="s">
        <v>673</v>
      </c>
    </row>
    <row r="661" spans="4:20" ht="318.75">
      <c r="D661" s="1425"/>
      <c r="E661" s="1427">
        <v>8</v>
      </c>
      <c r="F661" s="2573" t="s">
        <v>2109</v>
      </c>
      <c r="G661" s="2574"/>
      <c r="H661" s="2574"/>
      <c r="I661" s="2575"/>
      <c r="J661" s="1427" t="s">
        <v>1826</v>
      </c>
      <c r="K661" s="2576">
        <v>100000</v>
      </c>
      <c r="L661" s="2577"/>
      <c r="M661" s="2578"/>
      <c r="N661" s="1428" t="s">
        <v>676</v>
      </c>
      <c r="O661" s="1428">
        <v>76000</v>
      </c>
      <c r="P661" s="1427" t="s">
        <v>676</v>
      </c>
      <c r="Q661" s="1427" t="s">
        <v>2110</v>
      </c>
      <c r="R661" s="1427" t="s">
        <v>2111</v>
      </c>
      <c r="S661" s="1427" t="s">
        <v>2112</v>
      </c>
      <c r="T661" s="1427" t="s">
        <v>673</v>
      </c>
    </row>
    <row r="662" spans="4:20" ht="102">
      <c r="D662" s="1425"/>
      <c r="E662" s="1427">
        <v>9</v>
      </c>
      <c r="F662" s="2573" t="s">
        <v>2113</v>
      </c>
      <c r="G662" s="2574"/>
      <c r="H662" s="2574"/>
      <c r="I662" s="2575"/>
      <c r="J662" s="1427" t="s">
        <v>727</v>
      </c>
      <c r="K662" s="2576">
        <v>100000</v>
      </c>
      <c r="L662" s="2577"/>
      <c r="M662" s="2578"/>
      <c r="N662" s="1428" t="s">
        <v>676</v>
      </c>
      <c r="O662" s="1428">
        <f>114600-19100</f>
        <v>95500</v>
      </c>
      <c r="P662" s="1427" t="s">
        <v>676</v>
      </c>
      <c r="Q662" s="1427" t="s">
        <v>2114</v>
      </c>
      <c r="R662" s="1427" t="s">
        <v>2115</v>
      </c>
      <c r="S662" s="1427" t="s">
        <v>2116</v>
      </c>
      <c r="T662" s="1427" t="s">
        <v>673</v>
      </c>
    </row>
    <row r="663" spans="4:20" ht="102">
      <c r="D663" s="1425"/>
      <c r="E663" s="1427">
        <v>10</v>
      </c>
      <c r="F663" s="2573" t="s">
        <v>2117</v>
      </c>
      <c r="G663" s="2574"/>
      <c r="H663" s="2574"/>
      <c r="I663" s="2575"/>
      <c r="J663" s="1427" t="s">
        <v>727</v>
      </c>
      <c r="K663" s="2576">
        <v>15000</v>
      </c>
      <c r="L663" s="2577"/>
      <c r="M663" s="2578"/>
      <c r="N663" s="1428" t="s">
        <v>676</v>
      </c>
      <c r="O663" s="1428">
        <v>9000</v>
      </c>
      <c r="P663" s="1427" t="s">
        <v>676</v>
      </c>
      <c r="Q663" s="1427" t="s">
        <v>2118</v>
      </c>
      <c r="R663" s="1427" t="s">
        <v>2119</v>
      </c>
      <c r="S663" s="1427" t="s">
        <v>2120</v>
      </c>
      <c r="T663" s="1427" t="s">
        <v>673</v>
      </c>
    </row>
    <row r="664" spans="4:20" ht="102">
      <c r="D664" s="1425"/>
      <c r="E664" s="1427">
        <v>11</v>
      </c>
      <c r="F664" s="2573" t="s">
        <v>2121</v>
      </c>
      <c r="G664" s="2574"/>
      <c r="H664" s="2574"/>
      <c r="I664" s="2575"/>
      <c r="J664" s="1427" t="s">
        <v>727</v>
      </c>
      <c r="K664" s="2576">
        <v>100000</v>
      </c>
      <c r="L664" s="2577"/>
      <c r="M664" s="2578"/>
      <c r="N664" s="1428" t="s">
        <v>676</v>
      </c>
      <c r="O664" s="1428">
        <v>97500</v>
      </c>
      <c r="P664" s="1427" t="s">
        <v>676</v>
      </c>
      <c r="Q664" s="1427" t="s">
        <v>2122</v>
      </c>
      <c r="R664" s="1427" t="s">
        <v>2123</v>
      </c>
      <c r="S664" s="1427" t="s">
        <v>2124</v>
      </c>
      <c r="T664" s="1427" t="s">
        <v>673</v>
      </c>
    </row>
    <row r="665" spans="4:20" ht="306">
      <c r="D665" s="1418"/>
      <c r="E665" s="1427">
        <v>12</v>
      </c>
      <c r="F665" s="2573" t="s">
        <v>2125</v>
      </c>
      <c r="G665" s="2574"/>
      <c r="H665" s="2574"/>
      <c r="I665" s="2575"/>
      <c r="J665" s="1427" t="s">
        <v>1836</v>
      </c>
      <c r="K665" s="2576">
        <v>242993.87</v>
      </c>
      <c r="L665" s="2577"/>
      <c r="M665" s="2578"/>
      <c r="N665" s="1428" t="s">
        <v>681</v>
      </c>
      <c r="O665" s="1428">
        <v>242993.87</v>
      </c>
      <c r="P665" s="1427" t="s">
        <v>2126</v>
      </c>
      <c r="Q665" s="1427" t="s">
        <v>2127</v>
      </c>
      <c r="R665" s="1427" t="s">
        <v>2128</v>
      </c>
      <c r="S665" s="1427" t="s">
        <v>2129</v>
      </c>
      <c r="T665" s="1427" t="s">
        <v>673</v>
      </c>
    </row>
    <row r="666" spans="4:20" ht="127.5">
      <c r="D666" s="1559"/>
      <c r="E666" s="1427">
        <v>13</v>
      </c>
      <c r="F666" s="2573" t="s">
        <v>2130</v>
      </c>
      <c r="G666" s="2574"/>
      <c r="H666" s="2574"/>
      <c r="I666" s="2575"/>
      <c r="J666" s="1427" t="s">
        <v>1836</v>
      </c>
      <c r="K666" s="2576">
        <v>15762920.689999999</v>
      </c>
      <c r="L666" s="2577"/>
      <c r="M666" s="2578"/>
      <c r="N666" s="1428" t="s">
        <v>2106</v>
      </c>
      <c r="O666" s="1428">
        <v>15762756.789999999</v>
      </c>
      <c r="P666" s="1427" t="s">
        <v>2131</v>
      </c>
      <c r="Q666" s="1427" t="s">
        <v>1921</v>
      </c>
      <c r="R666" s="1427" t="s">
        <v>1591</v>
      </c>
      <c r="S666" s="1427" t="s">
        <v>2132</v>
      </c>
      <c r="T666" s="1427" t="s">
        <v>704</v>
      </c>
    </row>
    <row r="667" spans="4:20" ht="63.75">
      <c r="D667" s="1559"/>
      <c r="E667" s="1427">
        <v>14</v>
      </c>
      <c r="F667" s="2573" t="s">
        <v>2133</v>
      </c>
      <c r="G667" s="2574"/>
      <c r="H667" s="2574"/>
      <c r="I667" s="2575"/>
      <c r="J667" s="1427" t="s">
        <v>1093</v>
      </c>
      <c r="K667" s="2576">
        <v>100000</v>
      </c>
      <c r="L667" s="2577"/>
      <c r="M667" s="2578"/>
      <c r="N667" s="1428" t="s">
        <v>676</v>
      </c>
      <c r="O667" s="1428">
        <v>107800</v>
      </c>
      <c r="P667" s="1427" t="s">
        <v>676</v>
      </c>
      <c r="Q667" s="1427" t="s">
        <v>1510</v>
      </c>
      <c r="R667" s="1427" t="s">
        <v>1511</v>
      </c>
      <c r="S667" s="1427" t="s">
        <v>2134</v>
      </c>
      <c r="T667" s="1427" t="s">
        <v>673</v>
      </c>
    </row>
    <row r="668" spans="4:20" ht="140.25">
      <c r="D668" s="1557"/>
      <c r="E668" s="1427">
        <v>15</v>
      </c>
      <c r="F668" s="2573" t="s">
        <v>2135</v>
      </c>
      <c r="G668" s="2574"/>
      <c r="H668" s="2574"/>
      <c r="I668" s="2575"/>
      <c r="J668" s="1427" t="s">
        <v>2136</v>
      </c>
      <c r="K668" s="2576">
        <v>375000</v>
      </c>
      <c r="L668" s="2577"/>
      <c r="M668" s="2578"/>
      <c r="N668" s="1428" t="s">
        <v>688</v>
      </c>
      <c r="O668" s="1428">
        <v>325500</v>
      </c>
      <c r="P668" s="1427" t="s">
        <v>2137</v>
      </c>
      <c r="Q668" s="1427" t="s">
        <v>2138</v>
      </c>
      <c r="R668" s="1427" t="s">
        <v>2139</v>
      </c>
      <c r="S668" s="1427" t="s">
        <v>2104</v>
      </c>
      <c r="T668" s="1427" t="s">
        <v>704</v>
      </c>
    </row>
    <row r="669" spans="4:20" ht="318.75">
      <c r="D669" s="1557"/>
      <c r="E669" s="1427">
        <v>16</v>
      </c>
      <c r="F669" s="2573" t="s">
        <v>2140</v>
      </c>
      <c r="G669" s="2574"/>
      <c r="H669" s="2574"/>
      <c r="I669" s="2575"/>
      <c r="J669" s="1427" t="s">
        <v>1826</v>
      </c>
      <c r="K669" s="2576">
        <v>50000</v>
      </c>
      <c r="L669" s="2577"/>
      <c r="M669" s="2578"/>
      <c r="N669" s="1428" t="s">
        <v>676</v>
      </c>
      <c r="O669" s="1428">
        <v>41855</v>
      </c>
      <c r="P669" s="1427" t="s">
        <v>676</v>
      </c>
      <c r="Q669" s="1427" t="s">
        <v>1949</v>
      </c>
      <c r="R669" s="1427" t="s">
        <v>1950</v>
      </c>
      <c r="S669" s="1427" t="s">
        <v>2141</v>
      </c>
      <c r="T669" s="1427" t="s">
        <v>673</v>
      </c>
    </row>
    <row r="670" spans="4:20" ht="318.75">
      <c r="D670" s="1557"/>
      <c r="E670" s="1427">
        <v>17</v>
      </c>
      <c r="F670" s="2573" t="s">
        <v>2142</v>
      </c>
      <c r="G670" s="2574"/>
      <c r="H670" s="2574"/>
      <c r="I670" s="2575"/>
      <c r="J670" s="1427" t="s">
        <v>1826</v>
      </c>
      <c r="K670" s="2576">
        <v>95000</v>
      </c>
      <c r="L670" s="2577"/>
      <c r="M670" s="2578"/>
      <c r="N670" s="1428" t="s">
        <v>676</v>
      </c>
      <c r="O670" s="1428">
        <v>78000</v>
      </c>
      <c r="P670" s="1427" t="s">
        <v>676</v>
      </c>
      <c r="Q670" s="1427" t="s">
        <v>2102</v>
      </c>
      <c r="R670" s="1427" t="s">
        <v>2103</v>
      </c>
      <c r="S670" s="1427" t="s">
        <v>2143</v>
      </c>
      <c r="T670" s="1427" t="s">
        <v>673</v>
      </c>
    </row>
    <row r="671" spans="4:20" ht="318.75">
      <c r="D671" s="1557"/>
      <c r="E671" s="1427">
        <v>18</v>
      </c>
      <c r="F671" s="2573" t="s">
        <v>2144</v>
      </c>
      <c r="G671" s="2574"/>
      <c r="H671" s="2574"/>
      <c r="I671" s="2575"/>
      <c r="J671" s="1427" t="s">
        <v>1826</v>
      </c>
      <c r="K671" s="2576">
        <v>100000</v>
      </c>
      <c r="L671" s="2577"/>
      <c r="M671" s="2578"/>
      <c r="N671" s="1428" t="s">
        <v>676</v>
      </c>
      <c r="O671" s="1428">
        <v>80000</v>
      </c>
      <c r="P671" s="1427" t="s">
        <v>676</v>
      </c>
      <c r="Q671" s="1427" t="s">
        <v>2145</v>
      </c>
      <c r="R671" s="1427" t="s">
        <v>2146</v>
      </c>
      <c r="S671" s="1427" t="s">
        <v>2147</v>
      </c>
      <c r="T671" s="1427" t="s">
        <v>673</v>
      </c>
    </row>
    <row r="672" spans="4:20" ht="15">
      <c r="D672" s="1557"/>
      <c r="E672" s="1435"/>
      <c r="F672" s="2645" t="s">
        <v>761</v>
      </c>
      <c r="G672" s="2646"/>
      <c r="H672" s="2646"/>
      <c r="I672" s="2647"/>
      <c r="J672" s="1435"/>
      <c r="K672" s="2590">
        <f>SUM(K654:K671)</f>
        <v>42576722.560000002</v>
      </c>
      <c r="L672" s="2591"/>
      <c r="M672" s="2592"/>
      <c r="N672" s="1433"/>
      <c r="O672" s="1433">
        <f>SUM(O654:O671)</f>
        <v>36991405.659999996</v>
      </c>
      <c r="P672" s="1434"/>
      <c r="Q672" s="1435"/>
      <c r="R672" s="1435"/>
      <c r="S672" s="1435"/>
      <c r="T672" s="1435"/>
    </row>
    <row r="675" spans="5:21" ht="14.25">
      <c r="E675" s="1418"/>
      <c r="F675" s="1418"/>
      <c r="G675" s="1418"/>
      <c r="H675" s="1418"/>
      <c r="I675" s="1418"/>
      <c r="J675" s="1418"/>
      <c r="K675" s="1418"/>
      <c r="L675" s="1417"/>
      <c r="M675" s="1417"/>
      <c r="N675" s="1417"/>
      <c r="O675" s="1417"/>
      <c r="P675" s="1417"/>
      <c r="Q675" s="1418"/>
      <c r="R675" s="1418"/>
      <c r="S675" s="1418"/>
      <c r="T675" s="1418"/>
      <c r="U675" s="1418"/>
    </row>
    <row r="676" spans="5:21" ht="23.25">
      <c r="E676" s="2593" t="s">
        <v>652</v>
      </c>
      <c r="F676" s="2594"/>
      <c r="G676" s="2594"/>
      <c r="H676" s="2594"/>
      <c r="I676" s="2594"/>
      <c r="J676" s="2594"/>
      <c r="K676" s="2594"/>
      <c r="L676" s="2594"/>
      <c r="M676" s="1416"/>
      <c r="N676" s="1416"/>
      <c r="O676" s="1416"/>
      <c r="P676" s="1416"/>
      <c r="Q676" s="1419"/>
      <c r="R676" s="1419"/>
      <c r="S676" s="1419"/>
      <c r="T676" s="1419"/>
      <c r="U676" s="1419"/>
    </row>
    <row r="677" spans="5:21" ht="14.25">
      <c r="E677" s="1419"/>
      <c r="F677" s="1419"/>
      <c r="G677" s="1419"/>
      <c r="H677" s="1419"/>
      <c r="I677" s="1419"/>
      <c r="J677" s="1419"/>
      <c r="K677" s="1419"/>
      <c r="L677" s="1416"/>
      <c r="M677" s="1416"/>
      <c r="N677" s="1416"/>
      <c r="O677" s="1416"/>
      <c r="P677" s="1416"/>
      <c r="Q677" s="1419"/>
      <c r="R677" s="1419"/>
      <c r="S677" s="1419"/>
      <c r="T677" s="1419"/>
      <c r="U677" s="1419"/>
    </row>
    <row r="678" spans="5:21" ht="14.25">
      <c r="E678" s="2595" t="s">
        <v>653</v>
      </c>
      <c r="F678" s="2596"/>
      <c r="G678" s="2596"/>
      <c r="H678" s="1419"/>
      <c r="I678" s="1422" t="s">
        <v>654</v>
      </c>
      <c r="J678" s="1419"/>
      <c r="K678" s="1419"/>
      <c r="L678" s="1416"/>
      <c r="M678" s="1416"/>
      <c r="N678" s="1416"/>
      <c r="O678" s="1416"/>
      <c r="P678" s="1416"/>
      <c r="Q678" s="1419"/>
      <c r="R678" s="1419"/>
      <c r="S678" s="1419"/>
      <c r="T678" s="1419"/>
      <c r="U678" s="1419"/>
    </row>
    <row r="679" spans="5:21" ht="14.25">
      <c r="E679" s="1419"/>
      <c r="F679" s="1419"/>
      <c r="G679" s="1419"/>
      <c r="H679" s="1419"/>
      <c r="I679" s="1419"/>
      <c r="J679" s="1419"/>
      <c r="K679" s="1419"/>
      <c r="L679" s="1416"/>
      <c r="M679" s="1416"/>
      <c r="N679" s="1416"/>
      <c r="O679" s="1416"/>
      <c r="P679" s="1416"/>
      <c r="Q679" s="1419"/>
      <c r="R679" s="1419"/>
      <c r="S679" s="1419"/>
      <c r="T679" s="1419"/>
      <c r="U679" s="1419"/>
    </row>
    <row r="680" spans="5:21" ht="14.25">
      <c r="E680" s="2595" t="s">
        <v>655</v>
      </c>
      <c r="F680" s="2596"/>
      <c r="G680" s="2596"/>
      <c r="H680" s="1419"/>
      <c r="I680" s="2597" t="s">
        <v>2148</v>
      </c>
      <c r="J680" s="2596"/>
      <c r="K680" s="2596"/>
      <c r="L680" s="2596"/>
      <c r="M680" s="2596"/>
      <c r="N680" s="1416"/>
      <c r="O680" s="1416"/>
      <c r="P680" s="1416"/>
      <c r="Q680" s="1419"/>
      <c r="R680" s="1419"/>
      <c r="S680" s="1419"/>
      <c r="T680" s="1419"/>
      <c r="U680" s="1419"/>
    </row>
    <row r="681" spans="5:21" ht="14.25">
      <c r="E681" s="1418"/>
      <c r="F681" s="1418"/>
      <c r="G681" s="1418"/>
      <c r="H681" s="1418"/>
      <c r="I681" s="1418"/>
      <c r="J681" s="1418"/>
      <c r="K681" s="1418"/>
      <c r="L681" s="1417"/>
      <c r="M681" s="1417"/>
      <c r="N681" s="1417"/>
      <c r="O681" s="1417"/>
      <c r="P681" s="1417"/>
      <c r="Q681" s="1418"/>
      <c r="R681" s="1418"/>
      <c r="S681" s="1418"/>
      <c r="T681" s="1418"/>
      <c r="U681" s="1419"/>
    </row>
    <row r="682" spans="5:21" ht="38.25">
      <c r="E682" s="1418"/>
      <c r="F682" s="1544" t="s">
        <v>657</v>
      </c>
      <c r="G682" s="2607" t="s">
        <v>587</v>
      </c>
      <c r="H682" s="2608"/>
      <c r="I682" s="2608"/>
      <c r="J682" s="2608"/>
      <c r="K682" s="1544" t="s">
        <v>658</v>
      </c>
      <c r="L682" s="2609" t="s">
        <v>659</v>
      </c>
      <c r="M682" s="2610"/>
      <c r="N682" s="2611"/>
      <c r="O682" s="1560" t="s">
        <v>660</v>
      </c>
      <c r="P682" s="1560" t="s">
        <v>661</v>
      </c>
      <c r="Q682" s="1544" t="s">
        <v>662</v>
      </c>
      <c r="R682" s="1544" t="s">
        <v>663</v>
      </c>
      <c r="S682" s="1544" t="s">
        <v>664</v>
      </c>
      <c r="T682" s="1426" t="s">
        <v>665</v>
      </c>
      <c r="U682" s="1426" t="s">
        <v>666</v>
      </c>
    </row>
    <row r="683" spans="5:21" ht="14.25">
      <c r="E683" s="1418"/>
      <c r="F683" s="1435"/>
      <c r="G683" s="2589" t="s">
        <v>761</v>
      </c>
      <c r="H683" s="2589"/>
      <c r="I683" s="2589"/>
      <c r="J683" s="2589"/>
      <c r="K683" s="1435"/>
      <c r="L683" s="2590">
        <v>0</v>
      </c>
      <c r="M683" s="2591"/>
      <c r="N683" s="2592"/>
      <c r="O683" s="1433"/>
      <c r="P683" s="1433">
        <v>0</v>
      </c>
      <c r="Q683" s="1434"/>
      <c r="R683" s="1435"/>
      <c r="S683" s="1435"/>
      <c r="T683" s="1435"/>
      <c r="U683" s="1435"/>
    </row>
    <row r="684" spans="5:21" ht="15">
      <c r="E684" s="1419"/>
      <c r="F684" s="1419"/>
      <c r="G684" s="1419"/>
      <c r="H684" s="1419"/>
      <c r="I684" s="1419"/>
      <c r="J684" s="1419"/>
      <c r="K684" s="1419"/>
      <c r="L684" s="1416"/>
      <c r="M684" s="1416"/>
      <c r="N684" s="1416"/>
      <c r="O684" s="1416"/>
      <c r="P684" s="1416"/>
      <c r="Q684" s="1419"/>
      <c r="R684" s="1437" t="s">
        <v>762</v>
      </c>
      <c r="S684" s="1419"/>
      <c r="T684" s="1419"/>
      <c r="U684" s="1419"/>
    </row>
    <row r="685" spans="5:21" ht="15">
      <c r="E685" s="1419"/>
      <c r="F685" s="1419"/>
      <c r="G685" s="1419"/>
      <c r="H685" s="1419"/>
      <c r="I685" s="1419"/>
      <c r="J685" s="1419"/>
      <c r="K685" s="1419"/>
      <c r="L685" s="1416"/>
      <c r="M685" s="1416"/>
      <c r="N685" s="1416"/>
      <c r="O685" s="1416"/>
      <c r="P685" s="1416"/>
      <c r="Q685" s="1419"/>
      <c r="R685" s="1437" t="s">
        <v>763</v>
      </c>
      <c r="S685" s="1419"/>
      <c r="T685" s="1419"/>
      <c r="U685" s="1419"/>
    </row>
    <row r="686" spans="5:21" ht="14.25">
      <c r="E686" s="1418"/>
      <c r="F686" s="1418"/>
      <c r="G686" s="1418"/>
      <c r="H686" s="1418"/>
      <c r="I686" s="1418"/>
      <c r="J686" s="1418"/>
      <c r="K686" s="1418"/>
      <c r="L686" s="1417"/>
      <c r="M686" s="1417"/>
      <c r="N686" s="1417"/>
      <c r="O686" s="1417"/>
      <c r="P686" s="1417"/>
      <c r="Q686" s="1418"/>
      <c r="R686" s="1418"/>
      <c r="S686" s="1418"/>
      <c r="T686" s="1418"/>
      <c r="U686" s="1419"/>
    </row>
    <row r="687" spans="5:21" ht="23.25">
      <c r="E687" s="2593" t="s">
        <v>652</v>
      </c>
      <c r="F687" s="2594"/>
      <c r="G687" s="2594"/>
      <c r="H687" s="2594"/>
      <c r="I687" s="2594"/>
      <c r="J687" s="2594"/>
      <c r="K687" s="2594"/>
      <c r="L687" s="2594"/>
      <c r="M687" s="1416"/>
      <c r="N687" s="1416"/>
      <c r="O687" s="1416"/>
      <c r="P687" s="1416"/>
      <c r="Q687" s="1419"/>
      <c r="R687" s="1419"/>
      <c r="S687" s="1419"/>
      <c r="T687" s="1419"/>
      <c r="U687" s="1419"/>
    </row>
    <row r="688" spans="5:21" ht="14.25">
      <c r="E688" s="1419"/>
      <c r="F688" s="1419"/>
      <c r="G688" s="1419"/>
      <c r="H688" s="1419"/>
      <c r="I688" s="1419"/>
      <c r="J688" s="1419"/>
      <c r="K688" s="1419"/>
      <c r="L688" s="1416"/>
      <c r="M688" s="1416"/>
      <c r="N688" s="1416"/>
      <c r="O688" s="1416"/>
      <c r="P688" s="1416"/>
      <c r="Q688" s="1419"/>
      <c r="R688" s="1419"/>
      <c r="S688" s="1419"/>
      <c r="T688" s="1419"/>
      <c r="U688" s="1419"/>
    </row>
    <row r="689" spans="5:21" ht="14.25">
      <c r="E689" s="2595" t="s">
        <v>653</v>
      </c>
      <c r="F689" s="2596"/>
      <c r="G689" s="2596"/>
      <c r="H689" s="1419"/>
      <c r="I689" s="1422" t="s">
        <v>654</v>
      </c>
      <c r="J689" s="1419"/>
      <c r="K689" s="1419"/>
      <c r="L689" s="1416"/>
      <c r="M689" s="1416"/>
      <c r="N689" s="1416"/>
      <c r="O689" s="1416"/>
      <c r="P689" s="1416"/>
      <c r="Q689" s="1419"/>
      <c r="R689" s="1419"/>
      <c r="S689" s="1419"/>
      <c r="T689" s="1419"/>
      <c r="U689" s="1419"/>
    </row>
    <row r="690" spans="5:21" ht="14.25">
      <c r="E690" s="1419"/>
      <c r="F690" s="1419"/>
      <c r="G690" s="1419"/>
      <c r="H690" s="1419"/>
      <c r="I690" s="1419"/>
      <c r="J690" s="1419"/>
      <c r="K690" s="1419"/>
      <c r="L690" s="1416"/>
      <c r="M690" s="1416"/>
      <c r="N690" s="1416"/>
      <c r="O690" s="1416"/>
      <c r="P690" s="1416"/>
      <c r="Q690" s="1419"/>
      <c r="R690" s="1419"/>
      <c r="S690" s="1419"/>
      <c r="T690" s="1419"/>
      <c r="U690" s="1419"/>
    </row>
    <row r="691" spans="5:21" ht="14.25">
      <c r="E691" s="2595" t="s">
        <v>655</v>
      </c>
      <c r="F691" s="2596"/>
      <c r="G691" s="2596"/>
      <c r="H691" s="1419"/>
      <c r="I691" s="2597" t="s">
        <v>2149</v>
      </c>
      <c r="J691" s="2596"/>
      <c r="K691" s="2596"/>
      <c r="L691" s="2596"/>
      <c r="M691" s="2596"/>
      <c r="N691" s="1416"/>
      <c r="O691" s="1416"/>
      <c r="P691" s="1416"/>
      <c r="Q691" s="1419"/>
      <c r="R691" s="1419"/>
      <c r="S691" s="1419"/>
      <c r="T691" s="1419"/>
      <c r="U691" s="1419"/>
    </row>
    <row r="692" spans="5:21" ht="14.25">
      <c r="E692" s="1418"/>
      <c r="F692" s="1418"/>
      <c r="G692" s="1418"/>
      <c r="H692" s="1418"/>
      <c r="I692" s="1418"/>
      <c r="J692" s="1418"/>
      <c r="K692" s="1418"/>
      <c r="L692" s="1417"/>
      <c r="M692" s="1417"/>
      <c r="N692" s="1417"/>
      <c r="O692" s="1417"/>
      <c r="P692" s="1417"/>
      <c r="Q692" s="1418"/>
      <c r="R692" s="1418"/>
      <c r="S692" s="1418"/>
      <c r="T692" s="1418"/>
      <c r="U692" s="1419"/>
    </row>
    <row r="693" spans="5:21" ht="38.25">
      <c r="E693" s="1453"/>
      <c r="F693" s="1426" t="s">
        <v>657</v>
      </c>
      <c r="G693" s="2588" t="s">
        <v>587</v>
      </c>
      <c r="H693" s="2574"/>
      <c r="I693" s="2574"/>
      <c r="J693" s="2575"/>
      <c r="K693" s="1426" t="s">
        <v>658</v>
      </c>
      <c r="L693" s="2588" t="s">
        <v>659</v>
      </c>
      <c r="M693" s="2574"/>
      <c r="N693" s="2575"/>
      <c r="O693" s="1426" t="s">
        <v>660</v>
      </c>
      <c r="P693" s="1426" t="s">
        <v>661</v>
      </c>
      <c r="Q693" s="1426" t="s">
        <v>662</v>
      </c>
      <c r="R693" s="1426" t="s">
        <v>663</v>
      </c>
      <c r="S693" s="1426" t="s">
        <v>664</v>
      </c>
      <c r="T693" s="1426" t="s">
        <v>665</v>
      </c>
      <c r="U693" s="1426" t="s">
        <v>666</v>
      </c>
    </row>
    <row r="694" spans="5:21" ht="15">
      <c r="E694" s="1453"/>
      <c r="F694" s="1427">
        <v>1</v>
      </c>
      <c r="G694" s="2573" t="s">
        <v>1211</v>
      </c>
      <c r="H694" s="2574"/>
      <c r="I694" s="2574"/>
      <c r="J694" s="2575"/>
      <c r="K694" s="1427" t="s">
        <v>1898</v>
      </c>
      <c r="L694" s="2576">
        <v>100000</v>
      </c>
      <c r="M694" s="2577"/>
      <c r="N694" s="2578"/>
      <c r="O694" s="1428" t="s">
        <v>676</v>
      </c>
      <c r="P694" s="1428">
        <v>98670</v>
      </c>
      <c r="Q694" s="1427" t="s">
        <v>676</v>
      </c>
      <c r="R694" s="1427" t="s">
        <v>2150</v>
      </c>
      <c r="S694" s="1427" t="s">
        <v>2151</v>
      </c>
      <c r="T694" s="1427" t="s">
        <v>2152</v>
      </c>
      <c r="U694" s="1427" t="s">
        <v>673</v>
      </c>
    </row>
    <row r="695" spans="5:21" ht="15">
      <c r="E695" s="1453"/>
      <c r="F695" s="1427">
        <v>2</v>
      </c>
      <c r="G695" s="2573" t="s">
        <v>2153</v>
      </c>
      <c r="H695" s="2574"/>
      <c r="I695" s="2574"/>
      <c r="J695" s="2575"/>
      <c r="K695" s="1427" t="s">
        <v>711</v>
      </c>
      <c r="L695" s="2576">
        <v>100100</v>
      </c>
      <c r="M695" s="2577"/>
      <c r="N695" s="2578"/>
      <c r="O695" s="1428" t="s">
        <v>688</v>
      </c>
      <c r="P695" s="1428">
        <v>95316</v>
      </c>
      <c r="Q695" s="1427" t="s">
        <v>2154</v>
      </c>
      <c r="R695" s="1427" t="s">
        <v>2155</v>
      </c>
      <c r="S695" s="1427" t="s">
        <v>2156</v>
      </c>
      <c r="T695" s="1427" t="s">
        <v>2157</v>
      </c>
      <c r="U695" s="1427" t="s">
        <v>673</v>
      </c>
    </row>
    <row r="696" spans="5:21" ht="14.25">
      <c r="E696" s="1419"/>
      <c r="F696" s="1435"/>
      <c r="G696" s="2589" t="s">
        <v>761</v>
      </c>
      <c r="H696" s="2589"/>
      <c r="I696" s="2589"/>
      <c r="J696" s="2589"/>
      <c r="K696" s="1435"/>
      <c r="L696" s="2590">
        <f>SUM(L694:L695)</f>
        <v>200100</v>
      </c>
      <c r="M696" s="2591"/>
      <c r="N696" s="2592"/>
      <c r="O696" s="1433"/>
      <c r="P696" s="1433">
        <f>SUM(P694:P695)</f>
        <v>193986</v>
      </c>
      <c r="Q696" s="1434"/>
      <c r="R696" s="1435"/>
      <c r="S696" s="1435"/>
      <c r="T696" s="1435"/>
      <c r="U696" s="1435"/>
    </row>
    <row r="697" spans="5:21" ht="15">
      <c r="E697" s="1419"/>
      <c r="F697" s="1419"/>
      <c r="G697" s="1419"/>
      <c r="H697" s="1419"/>
      <c r="I697" s="1419"/>
      <c r="J697" s="1419"/>
      <c r="K697" s="1419"/>
      <c r="L697" s="1416"/>
      <c r="M697" s="1416"/>
      <c r="N697" s="1416"/>
      <c r="O697" s="1416"/>
      <c r="P697" s="1416"/>
      <c r="Q697" s="1419"/>
      <c r="R697" s="1437" t="s">
        <v>762</v>
      </c>
      <c r="S697" s="1419"/>
      <c r="T697" s="1419"/>
      <c r="U697" s="1419"/>
    </row>
    <row r="698" spans="5:21" ht="15">
      <c r="E698" s="1419"/>
      <c r="F698" s="1419"/>
      <c r="G698" s="1419"/>
      <c r="H698" s="1419"/>
      <c r="I698" s="1419"/>
      <c r="J698" s="1419"/>
      <c r="K698" s="1419"/>
      <c r="L698" s="1416"/>
      <c r="M698" s="1416"/>
      <c r="N698" s="1416"/>
      <c r="O698" s="1416"/>
      <c r="P698" s="1416"/>
      <c r="Q698" s="1419"/>
      <c r="R698" s="1437" t="s">
        <v>763</v>
      </c>
      <c r="S698" s="1419"/>
      <c r="T698" s="1419"/>
      <c r="U698" s="1419"/>
    </row>
    <row r="699" spans="5:21" ht="14.25">
      <c r="E699" s="1418"/>
      <c r="F699" s="1418"/>
      <c r="G699" s="1418"/>
      <c r="H699" s="1418"/>
      <c r="I699" s="1418"/>
      <c r="J699" s="1418"/>
      <c r="K699" s="1418"/>
      <c r="L699" s="1417"/>
      <c r="M699" s="1417"/>
      <c r="N699" s="1417"/>
      <c r="O699" s="1417"/>
      <c r="P699" s="1417"/>
      <c r="Q699" s="1418"/>
      <c r="R699" s="1418"/>
      <c r="S699" s="1418"/>
      <c r="T699" s="1418"/>
      <c r="U699" s="1418"/>
    </row>
    <row r="700" spans="5:21" ht="23.25">
      <c r="E700" s="2593" t="s">
        <v>652</v>
      </c>
      <c r="F700" s="2594"/>
      <c r="G700" s="2594"/>
      <c r="H700" s="2594"/>
      <c r="I700" s="2594"/>
      <c r="J700" s="2594"/>
      <c r="K700" s="2594"/>
      <c r="L700" s="2594"/>
      <c r="M700" s="1416"/>
      <c r="N700" s="1416"/>
      <c r="O700" s="1416"/>
      <c r="P700" s="1416"/>
      <c r="Q700" s="1419"/>
      <c r="R700" s="1419"/>
      <c r="S700" s="1419"/>
      <c r="T700" s="1419"/>
      <c r="U700" s="1419"/>
    </row>
    <row r="701" spans="5:21" ht="14.25">
      <c r="E701" s="1419"/>
      <c r="F701" s="1419"/>
      <c r="G701" s="1419"/>
      <c r="H701" s="1419"/>
      <c r="I701" s="1419"/>
      <c r="J701" s="1419"/>
      <c r="K701" s="1419"/>
      <c r="L701" s="1416"/>
      <c r="M701" s="1416"/>
      <c r="N701" s="1416"/>
      <c r="O701" s="1416"/>
      <c r="P701" s="1416"/>
      <c r="Q701" s="1419"/>
      <c r="R701" s="1419"/>
      <c r="S701" s="1419"/>
      <c r="T701" s="1419"/>
      <c r="U701" s="1419"/>
    </row>
    <row r="702" spans="5:21" ht="14.25">
      <c r="E702" s="2595" t="s">
        <v>653</v>
      </c>
      <c r="F702" s="2596"/>
      <c r="G702" s="2596"/>
      <c r="H702" s="1419"/>
      <c r="I702" s="1422" t="s">
        <v>654</v>
      </c>
      <c r="J702" s="1419"/>
      <c r="K702" s="1419"/>
      <c r="L702" s="1416"/>
      <c r="M702" s="1416"/>
      <c r="N702" s="1416"/>
      <c r="O702" s="1416"/>
      <c r="P702" s="1416"/>
      <c r="Q702" s="1419"/>
      <c r="R702" s="1419"/>
      <c r="S702" s="1419"/>
      <c r="T702" s="1419"/>
      <c r="U702" s="1419"/>
    </row>
    <row r="703" spans="5:21" ht="14.25">
      <c r="E703" s="1419"/>
      <c r="F703" s="1419"/>
      <c r="G703" s="1419"/>
      <c r="H703" s="1419"/>
      <c r="I703" s="1419"/>
      <c r="J703" s="1419"/>
      <c r="K703" s="1419"/>
      <c r="L703" s="1416"/>
      <c r="M703" s="1416"/>
      <c r="N703" s="1416"/>
      <c r="O703" s="1416"/>
      <c r="P703" s="1416"/>
      <c r="Q703" s="1419"/>
      <c r="R703" s="1419"/>
      <c r="S703" s="1419"/>
      <c r="T703" s="1419"/>
      <c r="U703" s="1419"/>
    </row>
    <row r="704" spans="5:21" ht="14.25">
      <c r="E704" s="2595" t="s">
        <v>655</v>
      </c>
      <c r="F704" s="2596"/>
      <c r="G704" s="2596"/>
      <c r="H704" s="1419"/>
      <c r="I704" s="2597" t="s">
        <v>2158</v>
      </c>
      <c r="J704" s="2596"/>
      <c r="K704" s="2596"/>
      <c r="L704" s="2596"/>
      <c r="M704" s="2596"/>
      <c r="N704" s="1416"/>
      <c r="O704" s="1416"/>
      <c r="P704" s="1416"/>
      <c r="Q704" s="1419"/>
      <c r="R704" s="1419"/>
      <c r="S704" s="1419"/>
      <c r="T704" s="1419"/>
      <c r="U704" s="1419"/>
    </row>
    <row r="705" spans="5:21" ht="14.25">
      <c r="E705" s="1418"/>
      <c r="F705" s="1418"/>
      <c r="G705" s="1418"/>
      <c r="H705" s="1418"/>
      <c r="I705" s="1418"/>
      <c r="J705" s="1418"/>
      <c r="K705" s="1418"/>
      <c r="L705" s="1417"/>
      <c r="M705" s="1417"/>
      <c r="N705" s="1417"/>
      <c r="O705" s="1417"/>
      <c r="P705" s="1417"/>
      <c r="Q705" s="1418"/>
      <c r="R705" s="1418"/>
      <c r="S705" s="1418"/>
      <c r="T705" s="1418"/>
      <c r="U705" s="1419"/>
    </row>
    <row r="706" spans="5:21" ht="38.25">
      <c r="E706" s="1561"/>
      <c r="F706" s="1426" t="s">
        <v>657</v>
      </c>
      <c r="G706" s="2588" t="s">
        <v>587</v>
      </c>
      <c r="H706" s="2639"/>
      <c r="I706" s="2639"/>
      <c r="J706" s="2640"/>
      <c r="K706" s="1426" t="s">
        <v>658</v>
      </c>
      <c r="L706" s="2588" t="s">
        <v>659</v>
      </c>
      <c r="M706" s="2639"/>
      <c r="N706" s="2640"/>
      <c r="O706" s="1426" t="s">
        <v>660</v>
      </c>
      <c r="P706" s="1426" t="s">
        <v>661</v>
      </c>
      <c r="Q706" s="1426" t="s">
        <v>662</v>
      </c>
      <c r="R706" s="1426" t="s">
        <v>663</v>
      </c>
      <c r="S706" s="1426" t="s">
        <v>664</v>
      </c>
      <c r="T706" s="1426" t="s">
        <v>765</v>
      </c>
      <c r="U706" s="1426" t="s">
        <v>766</v>
      </c>
    </row>
    <row r="707" spans="5:21" ht="25.5">
      <c r="E707" s="1561"/>
      <c r="F707" s="1427">
        <v>1</v>
      </c>
      <c r="G707" s="2573" t="s">
        <v>2159</v>
      </c>
      <c r="H707" s="2639"/>
      <c r="I707" s="2639"/>
      <c r="J707" s="2640"/>
      <c r="K707" s="1427" t="s">
        <v>2160</v>
      </c>
      <c r="L707" s="2576">
        <v>150000</v>
      </c>
      <c r="M707" s="2636"/>
      <c r="N707" s="2637"/>
      <c r="O707" s="1428" t="s">
        <v>688</v>
      </c>
      <c r="P707" s="1428">
        <v>136560</v>
      </c>
      <c r="Q707" s="1427" t="s">
        <v>2161</v>
      </c>
      <c r="R707" s="1427" t="s">
        <v>2162</v>
      </c>
      <c r="S707" s="1427" t="s">
        <v>2163</v>
      </c>
      <c r="T707" s="1427" t="s">
        <v>2164</v>
      </c>
      <c r="U707" s="1427" t="s">
        <v>673</v>
      </c>
    </row>
    <row r="708" spans="5:21" ht="25.5">
      <c r="E708" s="1561"/>
      <c r="F708" s="1427">
        <v>2</v>
      </c>
      <c r="G708" s="2642" t="s">
        <v>2165</v>
      </c>
      <c r="H708" s="2643"/>
      <c r="I708" s="2643"/>
      <c r="J708" s="2644"/>
      <c r="K708" s="1427" t="s">
        <v>1260</v>
      </c>
      <c r="L708" s="2576">
        <v>168000</v>
      </c>
      <c r="M708" s="2636"/>
      <c r="N708" s="2637"/>
      <c r="O708" s="1428" t="s">
        <v>688</v>
      </c>
      <c r="P708" s="1428">
        <v>144000</v>
      </c>
      <c r="Q708" s="1427" t="s">
        <v>1824</v>
      </c>
      <c r="R708" s="1427" t="s">
        <v>2166</v>
      </c>
      <c r="S708" s="1427" t="s">
        <v>2167</v>
      </c>
      <c r="T708" s="1427" t="s">
        <v>2168</v>
      </c>
      <c r="U708" s="1427" t="s">
        <v>704</v>
      </c>
    </row>
    <row r="709" spans="5:21" ht="15.75">
      <c r="E709" s="1561"/>
      <c r="F709" s="1427">
        <v>3</v>
      </c>
      <c r="G709" s="2573" t="s">
        <v>2169</v>
      </c>
      <c r="H709" s="2639"/>
      <c r="I709" s="2639"/>
      <c r="J709" s="2640"/>
      <c r="K709" s="1427" t="s">
        <v>2170</v>
      </c>
      <c r="L709" s="2576">
        <v>120000</v>
      </c>
      <c r="M709" s="2636"/>
      <c r="N709" s="2637"/>
      <c r="O709" s="1428" t="s">
        <v>688</v>
      </c>
      <c r="P709" s="1428">
        <v>105600</v>
      </c>
      <c r="Q709" s="1427" t="s">
        <v>2171</v>
      </c>
      <c r="R709" s="1427" t="s">
        <v>2172</v>
      </c>
      <c r="S709" s="1427" t="s">
        <v>2173</v>
      </c>
      <c r="T709" s="1427" t="s">
        <v>2164</v>
      </c>
      <c r="U709" s="1427" t="s">
        <v>673</v>
      </c>
    </row>
    <row r="710" spans="5:21" ht="25.5">
      <c r="E710" s="1561"/>
      <c r="F710" s="1427">
        <v>4</v>
      </c>
      <c r="G710" s="2573" t="s">
        <v>2174</v>
      </c>
      <c r="H710" s="2639"/>
      <c r="I710" s="2639"/>
      <c r="J710" s="2640"/>
      <c r="K710" s="1427" t="s">
        <v>1039</v>
      </c>
      <c r="L710" s="2576">
        <v>120000</v>
      </c>
      <c r="M710" s="2636"/>
      <c r="N710" s="2637"/>
      <c r="O710" s="1428" t="s">
        <v>688</v>
      </c>
      <c r="P710" s="1428">
        <v>79488</v>
      </c>
      <c r="Q710" s="1427" t="s">
        <v>2175</v>
      </c>
      <c r="R710" s="1427" t="s">
        <v>2176</v>
      </c>
      <c r="S710" s="1427" t="s">
        <v>2177</v>
      </c>
      <c r="T710" s="1427" t="s">
        <v>2164</v>
      </c>
      <c r="U710" s="1427" t="s">
        <v>673</v>
      </c>
    </row>
    <row r="711" spans="5:21" ht="25.5">
      <c r="E711" s="1561"/>
      <c r="F711" s="1562">
        <v>5</v>
      </c>
      <c r="G711" s="2641" t="s">
        <v>2178</v>
      </c>
      <c r="H711" s="2641"/>
      <c r="I711" s="2641"/>
      <c r="J711" s="2641"/>
      <c r="K711" s="1427" t="s">
        <v>1260</v>
      </c>
      <c r="L711" s="2635">
        <v>50000</v>
      </c>
      <c r="M711" s="2636"/>
      <c r="N711" s="2637"/>
      <c r="O711" s="1428"/>
      <c r="P711" s="1428">
        <v>48000</v>
      </c>
      <c r="Q711" s="1563"/>
      <c r="R711" s="1562" t="s">
        <v>2179</v>
      </c>
      <c r="S711" s="1562" t="s">
        <v>2180</v>
      </c>
      <c r="T711" s="1563" t="s">
        <v>2181</v>
      </c>
      <c r="U711" s="1562" t="s">
        <v>673</v>
      </c>
    </row>
    <row r="712" spans="5:21" ht="15.75">
      <c r="E712" s="1561"/>
      <c r="F712" s="1562">
        <v>6</v>
      </c>
      <c r="G712" s="2632" t="s">
        <v>2182</v>
      </c>
      <c r="H712" s="2633"/>
      <c r="I712" s="2633"/>
      <c r="J712" s="2634"/>
      <c r="K712" s="1427" t="s">
        <v>205</v>
      </c>
      <c r="L712" s="2635">
        <v>50000</v>
      </c>
      <c r="M712" s="2636"/>
      <c r="N712" s="2637"/>
      <c r="O712" s="1428"/>
      <c r="P712" s="1428">
        <v>34000</v>
      </c>
      <c r="Q712" s="1563"/>
      <c r="R712" s="1562" t="s">
        <v>2179</v>
      </c>
      <c r="S712" s="1562" t="s">
        <v>2180</v>
      </c>
      <c r="T712" s="1563" t="s">
        <v>2183</v>
      </c>
      <c r="U712" s="1562" t="s">
        <v>673</v>
      </c>
    </row>
    <row r="713" spans="5:21" ht="25.5">
      <c r="E713" s="1561"/>
      <c r="F713" s="1562">
        <v>7</v>
      </c>
      <c r="G713" s="2632" t="s">
        <v>2184</v>
      </c>
      <c r="H713" s="2633"/>
      <c r="I713" s="2633"/>
      <c r="J713" s="2634"/>
      <c r="K713" s="1427" t="s">
        <v>1260</v>
      </c>
      <c r="L713" s="2576">
        <v>50000</v>
      </c>
      <c r="M713" s="2638"/>
      <c r="N713" s="2638"/>
      <c r="O713" s="1428"/>
      <c r="P713" s="1428">
        <v>58752</v>
      </c>
      <c r="Q713" s="1447"/>
      <c r="R713" s="1562" t="s">
        <v>2185</v>
      </c>
      <c r="S713" s="1562" t="s">
        <v>2186</v>
      </c>
      <c r="T713" s="1563" t="s">
        <v>2187</v>
      </c>
      <c r="U713" s="1562" t="s">
        <v>673</v>
      </c>
    </row>
    <row r="714" spans="5:21" ht="14.25">
      <c r="E714" s="1418"/>
      <c r="F714" s="1435"/>
      <c r="G714" s="2589" t="s">
        <v>761</v>
      </c>
      <c r="H714" s="2589"/>
      <c r="I714" s="2589"/>
      <c r="J714" s="2589"/>
      <c r="K714" s="1435"/>
      <c r="L714" s="2590">
        <f>SUM(L707:L713)</f>
        <v>708000</v>
      </c>
      <c r="M714" s="2591"/>
      <c r="N714" s="2592"/>
      <c r="O714" s="1433"/>
      <c r="P714" s="1433">
        <f>SUM(P707:P713)</f>
        <v>606400</v>
      </c>
      <c r="Q714" s="1471"/>
      <c r="R714" s="1436"/>
      <c r="S714" s="1436"/>
      <c r="T714" s="1436"/>
      <c r="U714" s="1436"/>
    </row>
    <row r="715" spans="5:21" ht="15">
      <c r="E715" s="1418"/>
      <c r="F715" s="1418"/>
      <c r="G715" s="1418"/>
      <c r="H715" s="1418"/>
      <c r="I715" s="1418"/>
      <c r="J715" s="1418"/>
      <c r="K715" s="1418"/>
      <c r="L715" s="1417"/>
      <c r="M715" s="1417"/>
      <c r="N715" s="1417"/>
      <c r="O715" s="1417"/>
      <c r="P715" s="1417"/>
      <c r="Q715" s="1418"/>
      <c r="R715" s="1437" t="s">
        <v>762</v>
      </c>
      <c r="S715" s="1418"/>
      <c r="T715" s="1418"/>
      <c r="U715" s="1419"/>
    </row>
    <row r="716" spans="5:21" ht="15">
      <c r="E716" s="1418"/>
      <c r="F716" s="1418"/>
      <c r="G716" s="1418"/>
      <c r="H716" s="1418"/>
      <c r="I716" s="1418"/>
      <c r="J716" s="1418"/>
      <c r="K716" s="1418"/>
      <c r="L716" s="1417"/>
      <c r="M716" s="1417"/>
      <c r="N716" s="1417"/>
      <c r="O716" s="1417"/>
      <c r="P716" s="1417"/>
      <c r="Q716" s="1418"/>
      <c r="R716" s="1437" t="s">
        <v>763</v>
      </c>
      <c r="S716" s="1418"/>
      <c r="T716" s="1418"/>
      <c r="U716" s="1419"/>
    </row>
    <row r="717" spans="5:21" ht="14.25">
      <c r="E717" s="1418"/>
      <c r="F717" s="1418"/>
      <c r="G717" s="1418"/>
      <c r="H717" s="1418"/>
      <c r="I717" s="1418"/>
      <c r="J717" s="1418"/>
      <c r="K717" s="1418"/>
      <c r="L717" s="1417"/>
      <c r="M717" s="1417"/>
      <c r="N717" s="1417"/>
      <c r="O717" s="1417"/>
      <c r="P717" s="1417"/>
      <c r="Q717" s="1418"/>
      <c r="R717" s="1418"/>
      <c r="S717" s="1418"/>
      <c r="T717" s="1418"/>
      <c r="U717" s="1419"/>
    </row>
    <row r="718" spans="5:21" ht="23.25">
      <c r="E718" s="2593" t="s">
        <v>652</v>
      </c>
      <c r="F718" s="2594"/>
      <c r="G718" s="2594"/>
      <c r="H718" s="2594"/>
      <c r="I718" s="2594"/>
      <c r="J718" s="2594"/>
      <c r="K718" s="2594"/>
      <c r="L718" s="2594"/>
      <c r="M718" s="1416"/>
      <c r="N718" s="1416"/>
      <c r="O718" s="1416"/>
      <c r="P718" s="1416"/>
      <c r="Q718" s="1419"/>
      <c r="R718" s="1419"/>
      <c r="S718" s="1419"/>
      <c r="T718" s="1419"/>
      <c r="U718" s="1419"/>
    </row>
    <row r="719" spans="5:21" ht="14.25">
      <c r="E719" s="1419"/>
      <c r="F719" s="1419"/>
      <c r="G719" s="1419"/>
      <c r="H719" s="1419"/>
      <c r="I719" s="1419"/>
      <c r="J719" s="1419"/>
      <c r="K719" s="1419"/>
      <c r="L719" s="1416"/>
      <c r="M719" s="1416"/>
      <c r="N719" s="1416"/>
      <c r="O719" s="1416"/>
      <c r="P719" s="1416"/>
      <c r="Q719" s="1419"/>
      <c r="R719" s="1419"/>
      <c r="S719" s="1419"/>
      <c r="T719" s="1419"/>
      <c r="U719" s="1419"/>
    </row>
    <row r="720" spans="5:21" ht="14.25">
      <c r="E720" s="2595" t="s">
        <v>653</v>
      </c>
      <c r="F720" s="2596"/>
      <c r="G720" s="2596"/>
      <c r="H720" s="1419"/>
      <c r="I720" s="1422" t="s">
        <v>654</v>
      </c>
      <c r="J720" s="1419"/>
      <c r="K720" s="1419"/>
      <c r="L720" s="1416"/>
      <c r="M720" s="1416"/>
      <c r="N720" s="1416"/>
      <c r="O720" s="1416"/>
      <c r="P720" s="1416"/>
      <c r="Q720" s="1419"/>
      <c r="R720" s="1419"/>
      <c r="S720" s="1419"/>
      <c r="T720" s="1419"/>
      <c r="U720" s="1419"/>
    </row>
    <row r="721" spans="5:21" ht="14.25">
      <c r="E721" s="1419"/>
      <c r="F721" s="1419"/>
      <c r="G721" s="1419"/>
      <c r="H721" s="1419"/>
      <c r="I721" s="1419"/>
      <c r="J721" s="1419"/>
      <c r="K721" s="1419"/>
      <c r="L721" s="1416"/>
      <c r="M721" s="1416"/>
      <c r="N721" s="1416"/>
      <c r="O721" s="1416"/>
      <c r="P721" s="1416"/>
      <c r="Q721" s="1419"/>
      <c r="R721" s="1419"/>
      <c r="S721" s="1419"/>
      <c r="T721" s="1419"/>
      <c r="U721" s="1419"/>
    </row>
    <row r="722" spans="5:21" ht="14.25">
      <c r="E722" s="2595" t="s">
        <v>655</v>
      </c>
      <c r="F722" s="2596"/>
      <c r="G722" s="2596"/>
      <c r="H722" s="1419"/>
      <c r="I722" s="2597" t="s">
        <v>2188</v>
      </c>
      <c r="J722" s="2596"/>
      <c r="K722" s="2596"/>
      <c r="L722" s="2596"/>
      <c r="M722" s="2596"/>
      <c r="N722" s="1416"/>
      <c r="O722" s="1416"/>
      <c r="P722" s="1416"/>
      <c r="Q722" s="1419"/>
      <c r="R722" s="1419"/>
      <c r="S722" s="1419"/>
      <c r="T722" s="1419"/>
      <c r="U722" s="1419"/>
    </row>
    <row r="723" spans="5:21" ht="14.25">
      <c r="E723" s="1418"/>
      <c r="F723" s="1418"/>
      <c r="G723" s="1418"/>
      <c r="H723" s="1418"/>
      <c r="I723" s="1418"/>
      <c r="J723" s="1418"/>
      <c r="K723" s="1418"/>
      <c r="L723" s="1417"/>
      <c r="M723" s="1417"/>
      <c r="N723" s="1417"/>
      <c r="O723" s="1417"/>
      <c r="P723" s="1417"/>
      <c r="Q723" s="1418"/>
      <c r="R723" s="1418"/>
      <c r="S723" s="1418"/>
      <c r="T723" s="1418"/>
      <c r="U723" s="1419"/>
    </row>
    <row r="724" spans="5:21" ht="38.25">
      <c r="E724" s="1453"/>
      <c r="F724" s="1426" t="s">
        <v>657</v>
      </c>
      <c r="G724" s="2588" t="s">
        <v>587</v>
      </c>
      <c r="H724" s="2574"/>
      <c r="I724" s="2574"/>
      <c r="J724" s="2575"/>
      <c r="K724" s="1426" t="s">
        <v>658</v>
      </c>
      <c r="L724" s="2588" t="s">
        <v>659</v>
      </c>
      <c r="M724" s="2574"/>
      <c r="N724" s="2575"/>
      <c r="O724" s="1426" t="s">
        <v>660</v>
      </c>
      <c r="P724" s="1426" t="s">
        <v>661</v>
      </c>
      <c r="Q724" s="1426" t="s">
        <v>662</v>
      </c>
      <c r="R724" s="1426" t="s">
        <v>663</v>
      </c>
      <c r="S724" s="1426" t="s">
        <v>664</v>
      </c>
      <c r="T724" s="1426" t="s">
        <v>665</v>
      </c>
      <c r="U724" s="1426" t="s">
        <v>666</v>
      </c>
    </row>
    <row r="725" spans="5:21" ht="15">
      <c r="E725" s="1453"/>
      <c r="F725" s="1427">
        <v>1</v>
      </c>
      <c r="G725" s="2573" t="s">
        <v>1211</v>
      </c>
      <c r="H725" s="2574"/>
      <c r="I725" s="2574"/>
      <c r="J725" s="2575"/>
      <c r="K725" s="1427" t="s">
        <v>1898</v>
      </c>
      <c r="L725" s="2576">
        <v>100000</v>
      </c>
      <c r="M725" s="2577"/>
      <c r="N725" s="2578"/>
      <c r="O725" s="1428" t="s">
        <v>676</v>
      </c>
      <c r="P725" s="1428">
        <v>82916</v>
      </c>
      <c r="Q725" s="1427" t="s">
        <v>676</v>
      </c>
      <c r="R725" s="1427" t="s">
        <v>2189</v>
      </c>
      <c r="S725" s="1427" t="s">
        <v>2190</v>
      </c>
      <c r="T725" s="1427" t="s">
        <v>2191</v>
      </c>
      <c r="U725" s="1427" t="s">
        <v>704</v>
      </c>
    </row>
    <row r="726" spans="5:21" ht="15">
      <c r="E726" s="1453"/>
      <c r="F726" s="1427">
        <v>2</v>
      </c>
      <c r="G726" s="2573" t="s">
        <v>203</v>
      </c>
      <c r="H726" s="2574"/>
      <c r="I726" s="2574"/>
      <c r="J726" s="2575"/>
      <c r="K726" s="1427" t="s">
        <v>2192</v>
      </c>
      <c r="L726" s="2576">
        <v>83000</v>
      </c>
      <c r="M726" s="2577"/>
      <c r="N726" s="2578"/>
      <c r="O726" s="1428" t="s">
        <v>676</v>
      </c>
      <c r="P726" s="1428">
        <v>82700</v>
      </c>
      <c r="Q726" s="1427" t="s">
        <v>676</v>
      </c>
      <c r="R726" s="1427" t="s">
        <v>2193</v>
      </c>
      <c r="S726" s="1427" t="s">
        <v>2194</v>
      </c>
      <c r="T726" s="1427" t="s">
        <v>2195</v>
      </c>
      <c r="U726" s="1427" t="s">
        <v>673</v>
      </c>
    </row>
    <row r="727" spans="5:21" ht="14.25">
      <c r="E727" s="1419"/>
      <c r="F727" s="1435"/>
      <c r="G727" s="2589" t="s">
        <v>761</v>
      </c>
      <c r="H727" s="2589"/>
      <c r="I727" s="2589"/>
      <c r="J727" s="2589"/>
      <c r="K727" s="1435"/>
      <c r="L727" s="2590">
        <f>SUM(L725:L726)</f>
        <v>183000</v>
      </c>
      <c r="M727" s="2591"/>
      <c r="N727" s="2592"/>
      <c r="O727" s="1433"/>
      <c r="P727" s="1433">
        <f>SUM(P725:P726)</f>
        <v>165616</v>
      </c>
      <c r="Q727" s="1434"/>
      <c r="R727" s="1435"/>
      <c r="S727" s="1435"/>
      <c r="T727" s="1435"/>
      <c r="U727" s="1435"/>
    </row>
    <row r="728" spans="5:21" ht="15">
      <c r="E728" s="1419"/>
      <c r="F728" s="1419"/>
      <c r="G728" s="1419"/>
      <c r="H728" s="1419"/>
      <c r="I728" s="1419"/>
      <c r="J728" s="1419"/>
      <c r="K728" s="1419"/>
      <c r="L728" s="1416"/>
      <c r="M728" s="1416"/>
      <c r="N728" s="1416"/>
      <c r="O728" s="1416"/>
      <c r="P728" s="1416"/>
      <c r="Q728" s="1419"/>
      <c r="R728" s="1437" t="s">
        <v>762</v>
      </c>
      <c r="S728" s="1419"/>
      <c r="T728" s="1419"/>
      <c r="U728" s="1419"/>
    </row>
    <row r="729" spans="5:21" ht="15">
      <c r="E729" s="1419"/>
      <c r="F729" s="1419"/>
      <c r="G729" s="1419"/>
      <c r="H729" s="1419"/>
      <c r="I729" s="1419"/>
      <c r="J729" s="1419"/>
      <c r="K729" s="1419"/>
      <c r="L729" s="1416"/>
      <c r="M729" s="1416"/>
      <c r="N729" s="1416"/>
      <c r="O729" s="1416"/>
      <c r="P729" s="1416"/>
      <c r="Q729" s="1419"/>
      <c r="R729" s="1437" t="s">
        <v>763</v>
      </c>
      <c r="S729" s="1419"/>
      <c r="T729" s="1419"/>
      <c r="U729" s="1419"/>
    </row>
    <row r="730" spans="5:21" ht="14.25">
      <c r="E730" s="1418"/>
      <c r="F730" s="1418"/>
      <c r="G730" s="1418"/>
      <c r="H730" s="1418"/>
      <c r="I730" s="1418"/>
      <c r="J730" s="1418"/>
      <c r="K730" s="1418"/>
      <c r="L730" s="1417"/>
      <c r="M730" s="1417"/>
      <c r="N730" s="1417"/>
      <c r="O730" s="1417"/>
      <c r="P730" s="1417"/>
      <c r="Q730" s="1418"/>
      <c r="R730" s="1418"/>
      <c r="S730" s="1418"/>
      <c r="T730" s="1418"/>
      <c r="U730" s="1418"/>
    </row>
    <row r="731" spans="5:21" ht="23.25">
      <c r="E731" s="2593" t="s">
        <v>652</v>
      </c>
      <c r="F731" s="2594"/>
      <c r="G731" s="2594"/>
      <c r="H731" s="2594"/>
      <c r="I731" s="2594"/>
      <c r="J731" s="2594"/>
      <c r="K731" s="2594"/>
      <c r="L731" s="2594"/>
      <c r="M731" s="1416"/>
      <c r="N731" s="1416"/>
      <c r="O731" s="1416"/>
      <c r="P731" s="1416"/>
      <c r="Q731" s="1419"/>
      <c r="R731" s="1419"/>
      <c r="S731" s="1419"/>
      <c r="T731" s="1419"/>
      <c r="U731" s="1419"/>
    </row>
    <row r="732" spans="5:21" ht="14.25">
      <c r="E732" s="1419"/>
      <c r="F732" s="1419"/>
      <c r="G732" s="1419"/>
      <c r="H732" s="1419"/>
      <c r="I732" s="1419"/>
      <c r="J732" s="1419"/>
      <c r="K732" s="1419"/>
      <c r="L732" s="1416"/>
      <c r="M732" s="1416"/>
      <c r="N732" s="1416"/>
      <c r="O732" s="1416"/>
      <c r="P732" s="1416"/>
      <c r="Q732" s="1419"/>
      <c r="R732" s="1419"/>
      <c r="S732" s="1419"/>
      <c r="T732" s="1419"/>
      <c r="U732" s="1419"/>
    </row>
    <row r="733" spans="5:21" ht="14.25">
      <c r="E733" s="2595" t="s">
        <v>653</v>
      </c>
      <c r="F733" s="2596"/>
      <c r="G733" s="2596"/>
      <c r="H733" s="1419"/>
      <c r="I733" s="1422" t="s">
        <v>654</v>
      </c>
      <c r="J733" s="1419"/>
      <c r="K733" s="1419"/>
      <c r="L733" s="1416"/>
      <c r="M733" s="1416"/>
      <c r="N733" s="1416"/>
      <c r="O733" s="1416"/>
      <c r="P733" s="1416"/>
      <c r="Q733" s="1419"/>
      <c r="R733" s="1419"/>
      <c r="S733" s="1419"/>
      <c r="T733" s="1419"/>
      <c r="U733" s="1419"/>
    </row>
    <row r="734" spans="5:21" ht="14.25">
      <c r="E734" s="1419"/>
      <c r="F734" s="1419"/>
      <c r="G734" s="1419"/>
      <c r="H734" s="1419"/>
      <c r="I734" s="1419"/>
      <c r="J734" s="1419"/>
      <c r="K734" s="1419"/>
      <c r="L734" s="1416"/>
      <c r="M734" s="1416"/>
      <c r="N734" s="1416"/>
      <c r="O734" s="1416"/>
      <c r="P734" s="1416"/>
      <c r="Q734" s="1419"/>
      <c r="R734" s="1419"/>
      <c r="S734" s="1419"/>
      <c r="T734" s="1419"/>
      <c r="U734" s="1419"/>
    </row>
    <row r="735" spans="5:21" ht="15">
      <c r="E735" s="2627" t="s">
        <v>655</v>
      </c>
      <c r="F735" s="2627"/>
      <c r="G735" s="2627"/>
      <c r="H735" s="2627"/>
      <c r="I735" s="2627"/>
      <c r="J735" s="2628" t="s">
        <v>2196</v>
      </c>
      <c r="K735" s="2628"/>
      <c r="L735" s="2628"/>
      <c r="M735" s="2628"/>
      <c r="N735" s="2628"/>
      <c r="O735" s="1443"/>
      <c r="P735" s="1443"/>
      <c r="Q735" s="1440"/>
      <c r="R735" s="1440"/>
      <c r="S735" s="1440"/>
      <c r="T735" s="1440"/>
      <c r="U735" s="1440"/>
    </row>
    <row r="736" spans="5:21" ht="15">
      <c r="E736" s="1444"/>
      <c r="F736" s="1444"/>
      <c r="G736" s="1444"/>
      <c r="H736" s="1444"/>
      <c r="I736" s="1444"/>
      <c r="J736" s="1444"/>
      <c r="K736" s="1444"/>
      <c r="L736" s="1446"/>
      <c r="M736" s="1446"/>
      <c r="N736" s="1446"/>
      <c r="O736" s="1446"/>
      <c r="P736" s="1446"/>
      <c r="Q736" s="1444"/>
      <c r="R736" s="1444"/>
      <c r="S736" s="1444"/>
      <c r="T736" s="1444"/>
      <c r="U736" s="1440"/>
    </row>
    <row r="737" spans="5:21" ht="38.25">
      <c r="E737" s="1453"/>
      <c r="F737" s="1564" t="s">
        <v>657</v>
      </c>
      <c r="G737" s="2629" t="s">
        <v>587</v>
      </c>
      <c r="H737" s="2630"/>
      <c r="I737" s="2630"/>
      <c r="J737" s="2631"/>
      <c r="K737" s="1564" t="s">
        <v>658</v>
      </c>
      <c r="L737" s="2629" t="s">
        <v>659</v>
      </c>
      <c r="M737" s="2630"/>
      <c r="N737" s="2631"/>
      <c r="O737" s="1564" t="s">
        <v>660</v>
      </c>
      <c r="P737" s="1564" t="s">
        <v>661</v>
      </c>
      <c r="Q737" s="1564" t="s">
        <v>662</v>
      </c>
      <c r="R737" s="1564" t="s">
        <v>663</v>
      </c>
      <c r="S737" s="1564" t="s">
        <v>664</v>
      </c>
      <c r="T737" s="1564" t="s">
        <v>665</v>
      </c>
      <c r="U737" s="1564" t="s">
        <v>666</v>
      </c>
    </row>
    <row r="738" spans="5:21" ht="51">
      <c r="E738" s="1453"/>
      <c r="F738" s="1565">
        <v>1</v>
      </c>
      <c r="G738" s="2621" t="s">
        <v>2197</v>
      </c>
      <c r="H738" s="2622"/>
      <c r="I738" s="2622"/>
      <c r="J738" s="2623"/>
      <c r="K738" s="1566" t="s">
        <v>2198</v>
      </c>
      <c r="L738" s="2624">
        <v>100001</v>
      </c>
      <c r="M738" s="2625"/>
      <c r="N738" s="2626"/>
      <c r="O738" s="1567" t="s">
        <v>688</v>
      </c>
      <c r="P738" s="1567">
        <v>90000</v>
      </c>
      <c r="Q738" s="1566" t="s">
        <v>2199</v>
      </c>
      <c r="R738" s="1566" t="s">
        <v>2200</v>
      </c>
      <c r="S738" s="1566" t="s">
        <v>2201</v>
      </c>
      <c r="T738" s="1566" t="s">
        <v>2202</v>
      </c>
      <c r="U738" s="1568" t="s">
        <v>673</v>
      </c>
    </row>
    <row r="739" spans="5:21" ht="89.25">
      <c r="E739" s="1453"/>
      <c r="F739" s="1569">
        <v>2</v>
      </c>
      <c r="G739" s="2573" t="s">
        <v>2203</v>
      </c>
      <c r="H739" s="2574"/>
      <c r="I739" s="2574"/>
      <c r="J739" s="2575"/>
      <c r="K739" s="1427" t="s">
        <v>2204</v>
      </c>
      <c r="L739" s="2576">
        <v>100001</v>
      </c>
      <c r="M739" s="2577"/>
      <c r="N739" s="2578"/>
      <c r="O739" s="1428" t="s">
        <v>688</v>
      </c>
      <c r="P739" s="1428">
        <v>96000</v>
      </c>
      <c r="Q739" s="1427" t="s">
        <v>2205</v>
      </c>
      <c r="R739" s="1427" t="s">
        <v>1483</v>
      </c>
      <c r="S739" s="1427" t="s">
        <v>1484</v>
      </c>
      <c r="T739" s="1427" t="s">
        <v>2202</v>
      </c>
      <c r="U739" s="1570" t="s">
        <v>673</v>
      </c>
    </row>
    <row r="740" spans="5:21" ht="25.5">
      <c r="E740" s="1453"/>
      <c r="F740" s="1569">
        <v>3</v>
      </c>
      <c r="G740" s="2573" t="s">
        <v>2206</v>
      </c>
      <c r="H740" s="2574"/>
      <c r="I740" s="2574"/>
      <c r="J740" s="2575"/>
      <c r="K740" s="1427" t="s">
        <v>2207</v>
      </c>
      <c r="L740" s="2576">
        <v>100001</v>
      </c>
      <c r="M740" s="2577"/>
      <c r="N740" s="2578"/>
      <c r="O740" s="1428" t="s">
        <v>688</v>
      </c>
      <c r="P740" s="1428">
        <v>85500</v>
      </c>
      <c r="Q740" s="1427" t="s">
        <v>2205</v>
      </c>
      <c r="R740" s="1427" t="s">
        <v>2208</v>
      </c>
      <c r="S740" s="1427" t="s">
        <v>2209</v>
      </c>
      <c r="T740" s="1427" t="s">
        <v>2202</v>
      </c>
      <c r="U740" s="1570" t="s">
        <v>673</v>
      </c>
    </row>
    <row r="741" spans="5:21" ht="25.5">
      <c r="E741" s="1453"/>
      <c r="F741" s="1569">
        <v>4</v>
      </c>
      <c r="G741" s="2573" t="s">
        <v>2210</v>
      </c>
      <c r="H741" s="2574"/>
      <c r="I741" s="2574"/>
      <c r="J741" s="2575"/>
      <c r="K741" s="1427" t="s">
        <v>2136</v>
      </c>
      <c r="L741" s="2576">
        <v>100001</v>
      </c>
      <c r="M741" s="2577"/>
      <c r="N741" s="2578"/>
      <c r="O741" s="1428" t="s">
        <v>688</v>
      </c>
      <c r="P741" s="1428">
        <v>78000</v>
      </c>
      <c r="Q741" s="1427" t="s">
        <v>2211</v>
      </c>
      <c r="R741" s="1427" t="s">
        <v>2212</v>
      </c>
      <c r="S741" s="1427" t="s">
        <v>2213</v>
      </c>
      <c r="T741" s="1427" t="s">
        <v>2202</v>
      </c>
      <c r="U741" s="1570" t="s">
        <v>673</v>
      </c>
    </row>
    <row r="742" spans="5:21" ht="15">
      <c r="E742" s="1453"/>
      <c r="F742" s="1569">
        <v>5</v>
      </c>
      <c r="G742" s="2573" t="s">
        <v>2214</v>
      </c>
      <c r="H742" s="2574"/>
      <c r="I742" s="2574"/>
      <c r="J742" s="2575"/>
      <c r="K742" s="1427" t="s">
        <v>2215</v>
      </c>
      <c r="L742" s="2576">
        <v>274000</v>
      </c>
      <c r="M742" s="2577"/>
      <c r="N742" s="2578"/>
      <c r="O742" s="1428" t="s">
        <v>688</v>
      </c>
      <c r="P742" s="1428">
        <v>232210</v>
      </c>
      <c r="Q742" s="1427" t="s">
        <v>2216</v>
      </c>
      <c r="R742" s="1427" t="s">
        <v>2217</v>
      </c>
      <c r="S742" s="1427" t="s">
        <v>2218</v>
      </c>
      <c r="T742" s="1427" t="s">
        <v>2219</v>
      </c>
      <c r="U742" s="1570" t="s">
        <v>673</v>
      </c>
    </row>
    <row r="743" spans="5:21" ht="14.25">
      <c r="E743" s="1419"/>
      <c r="F743" s="1571"/>
      <c r="G743" s="2617" t="s">
        <v>761</v>
      </c>
      <c r="H743" s="2617"/>
      <c r="I743" s="2617"/>
      <c r="J743" s="2617"/>
      <c r="K743" s="1571"/>
      <c r="L743" s="2618">
        <f>SUM(L738:L742)</f>
        <v>674004</v>
      </c>
      <c r="M743" s="2619"/>
      <c r="N743" s="2620"/>
      <c r="O743" s="1572"/>
      <c r="P743" s="1572">
        <f>SUM(P738:P742)</f>
        <v>581710</v>
      </c>
      <c r="Q743" s="1573"/>
      <c r="R743" s="1571"/>
      <c r="S743" s="1571"/>
      <c r="T743" s="1574"/>
      <c r="U743" s="1575"/>
    </row>
    <row r="744" spans="5:21" ht="15">
      <c r="E744" s="1419"/>
      <c r="F744" s="1419"/>
      <c r="G744" s="1419"/>
      <c r="H744" s="1419"/>
      <c r="I744" s="1419"/>
      <c r="J744" s="1419"/>
      <c r="K744" s="1419"/>
      <c r="L744" s="1416"/>
      <c r="M744" s="1416"/>
      <c r="N744" s="1416"/>
      <c r="O744" s="1416"/>
      <c r="P744" s="1416"/>
      <c r="Q744" s="1419"/>
      <c r="R744" s="1437" t="s">
        <v>762</v>
      </c>
      <c r="S744" s="1419"/>
      <c r="T744" s="1419"/>
      <c r="U744" s="1419"/>
    </row>
    <row r="745" spans="5:21" ht="15">
      <c r="E745" s="1419"/>
      <c r="F745" s="1419"/>
      <c r="G745" s="1419"/>
      <c r="H745" s="1419"/>
      <c r="I745" s="1419"/>
      <c r="J745" s="1419"/>
      <c r="K745" s="1419"/>
      <c r="L745" s="1416"/>
      <c r="M745" s="1416"/>
      <c r="N745" s="1416"/>
      <c r="O745" s="1416"/>
      <c r="P745" s="1416"/>
      <c r="Q745" s="1419"/>
      <c r="R745" s="1437" t="s">
        <v>763</v>
      </c>
      <c r="S745" s="1419"/>
      <c r="T745" s="1419"/>
      <c r="U745" s="1419"/>
    </row>
    <row r="746" spans="5:21" ht="14.25">
      <c r="E746" s="1418"/>
      <c r="F746" s="1418"/>
      <c r="G746" s="1418"/>
      <c r="H746" s="1418"/>
      <c r="I746" s="1418"/>
      <c r="J746" s="1418"/>
      <c r="K746" s="1418"/>
      <c r="L746" s="1417"/>
      <c r="M746" s="1417"/>
      <c r="N746" s="1417"/>
      <c r="O746" s="1417"/>
      <c r="P746" s="1417"/>
      <c r="Q746" s="1418"/>
      <c r="R746" s="1418"/>
      <c r="S746" s="1418"/>
      <c r="T746" s="1418"/>
      <c r="U746" s="1419"/>
    </row>
    <row r="747" spans="5:21" ht="23.25">
      <c r="E747" s="2593" t="s">
        <v>652</v>
      </c>
      <c r="F747" s="2594"/>
      <c r="G747" s="2594"/>
      <c r="H747" s="2594"/>
      <c r="I747" s="2594"/>
      <c r="J747" s="2594"/>
      <c r="K747" s="2594"/>
      <c r="L747" s="2594"/>
      <c r="M747" s="1416"/>
      <c r="N747" s="1416"/>
      <c r="O747" s="1416"/>
      <c r="P747" s="1416"/>
      <c r="Q747" s="1419"/>
      <c r="R747" s="1419"/>
      <c r="S747" s="1419"/>
      <c r="T747" s="1419"/>
      <c r="U747" s="1419"/>
    </row>
    <row r="748" spans="5:21" ht="14.25">
      <c r="E748" s="1419"/>
      <c r="F748" s="1419"/>
      <c r="G748" s="1419"/>
      <c r="H748" s="1419"/>
      <c r="I748" s="1419"/>
      <c r="J748" s="1419"/>
      <c r="K748" s="1419"/>
      <c r="L748" s="1416"/>
      <c r="M748" s="1416"/>
      <c r="N748" s="1416"/>
      <c r="O748" s="1416"/>
      <c r="P748" s="1416"/>
      <c r="Q748" s="1419"/>
      <c r="R748" s="1419"/>
      <c r="S748" s="1419"/>
      <c r="T748" s="1419"/>
      <c r="U748" s="1419"/>
    </row>
    <row r="749" spans="5:21" ht="14.25">
      <c r="E749" s="2595" t="s">
        <v>653</v>
      </c>
      <c r="F749" s="2596"/>
      <c r="G749" s="2596"/>
      <c r="H749" s="1419"/>
      <c r="I749" s="1422" t="s">
        <v>654</v>
      </c>
      <c r="J749" s="1419"/>
      <c r="K749" s="1419"/>
      <c r="L749" s="1416"/>
      <c r="M749" s="1416"/>
      <c r="N749" s="1416"/>
      <c r="O749" s="1416"/>
      <c r="P749" s="1416"/>
      <c r="Q749" s="1419"/>
      <c r="R749" s="1419"/>
      <c r="S749" s="1419"/>
      <c r="T749" s="1419"/>
      <c r="U749" s="1419"/>
    </row>
    <row r="750" spans="5:21" ht="14.25">
      <c r="E750" s="1419"/>
      <c r="F750" s="1419"/>
      <c r="G750" s="1419"/>
      <c r="H750" s="1419"/>
      <c r="I750" s="1419"/>
      <c r="J750" s="1419"/>
      <c r="K750" s="1419"/>
      <c r="L750" s="1416"/>
      <c r="M750" s="1416"/>
      <c r="N750" s="1416"/>
      <c r="O750" s="1416"/>
      <c r="P750" s="1416"/>
      <c r="Q750" s="1419"/>
      <c r="R750" s="1419"/>
      <c r="S750" s="1419"/>
      <c r="T750" s="1419"/>
      <c r="U750" s="1419"/>
    </row>
    <row r="751" spans="5:21" ht="14.25">
      <c r="E751" s="2595" t="s">
        <v>655</v>
      </c>
      <c r="F751" s="2596"/>
      <c r="G751" s="2596"/>
      <c r="H751" s="1419"/>
      <c r="I751" s="2597" t="s">
        <v>2220</v>
      </c>
      <c r="J751" s="2596"/>
      <c r="K751" s="2596"/>
      <c r="L751" s="2596"/>
      <c r="M751" s="2596"/>
      <c r="N751" s="1416"/>
      <c r="O751" s="1416"/>
      <c r="P751" s="1416"/>
      <c r="Q751" s="1419"/>
      <c r="R751" s="1419"/>
      <c r="S751" s="1419"/>
      <c r="T751" s="1419"/>
      <c r="U751" s="1419"/>
    </row>
    <row r="752" spans="5:21" ht="14.25">
      <c r="E752" s="1418"/>
      <c r="F752" s="1418"/>
      <c r="G752" s="1418"/>
      <c r="H752" s="1418"/>
      <c r="I752" s="1418"/>
      <c r="J752" s="1418"/>
      <c r="K752" s="1418"/>
      <c r="L752" s="1417"/>
      <c r="M752" s="1417"/>
      <c r="N752" s="1417"/>
      <c r="O752" s="1417"/>
      <c r="P752" s="1417"/>
      <c r="Q752" s="1418"/>
      <c r="R752" s="1418"/>
      <c r="S752" s="1418"/>
      <c r="T752" s="1418"/>
      <c r="U752" s="1419"/>
    </row>
    <row r="753" spans="5:21" ht="38.25">
      <c r="E753" s="1425"/>
      <c r="F753" s="1426" t="s">
        <v>657</v>
      </c>
      <c r="G753" s="2588" t="s">
        <v>587</v>
      </c>
      <c r="H753" s="2574"/>
      <c r="I753" s="2574"/>
      <c r="J753" s="2575"/>
      <c r="K753" s="1426" t="s">
        <v>658</v>
      </c>
      <c r="L753" s="2588" t="s">
        <v>659</v>
      </c>
      <c r="M753" s="2574"/>
      <c r="N753" s="2575"/>
      <c r="O753" s="1426" t="s">
        <v>660</v>
      </c>
      <c r="P753" s="1426" t="s">
        <v>661</v>
      </c>
      <c r="Q753" s="1426" t="s">
        <v>662</v>
      </c>
      <c r="R753" s="1426" t="s">
        <v>663</v>
      </c>
      <c r="S753" s="1426" t="s">
        <v>664</v>
      </c>
      <c r="T753" s="1426" t="s">
        <v>665</v>
      </c>
      <c r="U753" s="1426" t="s">
        <v>666</v>
      </c>
    </row>
    <row r="754" spans="5:21" ht="114.75">
      <c r="E754" s="1425"/>
      <c r="F754" s="1427">
        <v>1</v>
      </c>
      <c r="G754" s="2573" t="s">
        <v>2221</v>
      </c>
      <c r="H754" s="2574"/>
      <c r="I754" s="2574"/>
      <c r="J754" s="2575"/>
      <c r="K754" s="1427" t="s">
        <v>2222</v>
      </c>
      <c r="L754" s="2576">
        <v>100000</v>
      </c>
      <c r="M754" s="2577"/>
      <c r="N754" s="2578"/>
      <c r="O754" s="1428" t="s">
        <v>676</v>
      </c>
      <c r="P754" s="1428">
        <v>100000</v>
      </c>
      <c r="Q754" s="1427" t="s">
        <v>676</v>
      </c>
      <c r="R754" s="1427" t="s">
        <v>861</v>
      </c>
      <c r="S754" s="1427" t="s">
        <v>862</v>
      </c>
      <c r="T754" s="1427" t="s">
        <v>2223</v>
      </c>
      <c r="U754" s="1427" t="s">
        <v>673</v>
      </c>
    </row>
    <row r="755" spans="5:21" ht="25.5">
      <c r="E755" s="1425"/>
      <c r="F755" s="1427">
        <v>2</v>
      </c>
      <c r="G755" s="2573" t="s">
        <v>2224</v>
      </c>
      <c r="H755" s="2574"/>
      <c r="I755" s="2574"/>
      <c r="J755" s="2575"/>
      <c r="K755" s="1427" t="s">
        <v>2225</v>
      </c>
      <c r="L755" s="2576">
        <v>4150</v>
      </c>
      <c r="M755" s="2577"/>
      <c r="N755" s="2578"/>
      <c r="O755" s="1428" t="s">
        <v>676</v>
      </c>
      <c r="P755" s="1428">
        <v>4150</v>
      </c>
      <c r="Q755" s="1427" t="s">
        <v>676</v>
      </c>
      <c r="R755" s="1427" t="s">
        <v>2226</v>
      </c>
      <c r="S755" s="1427" t="s">
        <v>2227</v>
      </c>
      <c r="T755" s="1427" t="s">
        <v>2228</v>
      </c>
      <c r="U755" s="1427" t="s">
        <v>673</v>
      </c>
    </row>
    <row r="756" spans="5:21" ht="14.25">
      <c r="E756" s="1418"/>
      <c r="F756" s="1436"/>
      <c r="G756" s="2589" t="s">
        <v>761</v>
      </c>
      <c r="H756" s="2589"/>
      <c r="I756" s="2589"/>
      <c r="J756" s="2589"/>
      <c r="K756" s="1435"/>
      <c r="L756" s="2590">
        <f>SUM(L754:L755)</f>
        <v>104150</v>
      </c>
      <c r="M756" s="2591"/>
      <c r="N756" s="2592"/>
      <c r="O756" s="1433"/>
      <c r="P756" s="1433">
        <f>SUM(P754:P755)</f>
        <v>104150</v>
      </c>
      <c r="Q756" s="1434"/>
      <c r="R756" s="1435"/>
      <c r="S756" s="1436"/>
      <c r="T756" s="1436"/>
      <c r="U756" s="1436"/>
    </row>
    <row r="757" spans="5:21" ht="15">
      <c r="E757" s="1418"/>
      <c r="F757" s="1418"/>
      <c r="G757" s="1419"/>
      <c r="H757" s="1419"/>
      <c r="I757" s="1419"/>
      <c r="J757" s="1419"/>
      <c r="K757" s="1419"/>
      <c r="L757" s="1416"/>
      <c r="M757" s="1416"/>
      <c r="N757" s="1416"/>
      <c r="O757" s="1416"/>
      <c r="P757" s="1416"/>
      <c r="Q757" s="1419"/>
      <c r="R757" s="1437" t="s">
        <v>762</v>
      </c>
      <c r="S757" s="1418"/>
      <c r="T757" s="1418"/>
      <c r="U757" s="1419"/>
    </row>
    <row r="758" spans="5:21" ht="15">
      <c r="E758" s="1418"/>
      <c r="F758" s="1418"/>
      <c r="G758" s="1419"/>
      <c r="H758" s="1419"/>
      <c r="I758" s="1419"/>
      <c r="J758" s="1419"/>
      <c r="K758" s="1419"/>
      <c r="L758" s="1416"/>
      <c r="M758" s="1416"/>
      <c r="N758" s="1416"/>
      <c r="O758" s="1416"/>
      <c r="P758" s="1416"/>
      <c r="Q758" s="1419"/>
      <c r="R758" s="1437" t="s">
        <v>763</v>
      </c>
      <c r="S758" s="1418"/>
      <c r="T758" s="1418"/>
      <c r="U758" s="1419"/>
    </row>
    <row r="759" spans="5:21" ht="14.25">
      <c r="E759" s="1418"/>
      <c r="F759" s="1418"/>
      <c r="G759" s="1418"/>
      <c r="H759" s="1418"/>
      <c r="I759" s="1418"/>
      <c r="J759" s="1418"/>
      <c r="K759" s="1418"/>
      <c r="L759" s="1417"/>
      <c r="M759" s="1417"/>
      <c r="N759" s="1417"/>
      <c r="O759" s="1417"/>
      <c r="P759" s="1417"/>
      <c r="Q759" s="1418"/>
      <c r="R759" s="1418"/>
      <c r="S759" s="1418"/>
      <c r="T759" s="1418"/>
      <c r="U759" s="1418"/>
    </row>
    <row r="760" spans="5:21" ht="23.25">
      <c r="E760" s="2593" t="s">
        <v>652</v>
      </c>
      <c r="F760" s="2594"/>
      <c r="G760" s="2594"/>
      <c r="H760" s="2594"/>
      <c r="I760" s="2594"/>
      <c r="J760" s="2594"/>
      <c r="K760" s="2594"/>
      <c r="L760" s="2594"/>
      <c r="M760" s="1416"/>
      <c r="N760" s="1416"/>
      <c r="O760" s="1416"/>
      <c r="P760" s="1416"/>
      <c r="Q760" s="1419"/>
      <c r="R760" s="1419"/>
      <c r="S760" s="1419"/>
      <c r="T760" s="1419"/>
      <c r="U760" s="1419"/>
    </row>
    <row r="761" spans="5:21" ht="14.25">
      <c r="E761" s="1419"/>
      <c r="F761" s="1419"/>
      <c r="G761" s="1419"/>
      <c r="H761" s="1419"/>
      <c r="I761" s="1419"/>
      <c r="J761" s="1419"/>
      <c r="K761" s="1419"/>
      <c r="L761" s="1416"/>
      <c r="M761" s="1416"/>
      <c r="N761" s="1416"/>
      <c r="O761" s="1416"/>
      <c r="P761" s="1416"/>
      <c r="Q761" s="1419"/>
      <c r="R761" s="1419"/>
      <c r="S761" s="1419"/>
      <c r="T761" s="1419"/>
      <c r="U761" s="1419"/>
    </row>
    <row r="762" spans="5:21" ht="14.25">
      <c r="E762" s="2595" t="s">
        <v>653</v>
      </c>
      <c r="F762" s="2596"/>
      <c r="G762" s="2596"/>
      <c r="H762" s="1419"/>
      <c r="I762" s="1422" t="s">
        <v>654</v>
      </c>
      <c r="J762" s="1419"/>
      <c r="K762" s="1419"/>
      <c r="L762" s="1416"/>
      <c r="M762" s="1416"/>
      <c r="N762" s="1416"/>
      <c r="O762" s="1416"/>
      <c r="P762" s="1416"/>
      <c r="Q762" s="1419"/>
      <c r="R762" s="1419"/>
      <c r="S762" s="1419"/>
      <c r="T762" s="1419"/>
      <c r="U762" s="1419"/>
    </row>
    <row r="763" spans="5:21" ht="14.25">
      <c r="E763" s="1419"/>
      <c r="F763" s="1419"/>
      <c r="G763" s="1419"/>
      <c r="H763" s="1419"/>
      <c r="I763" s="1419"/>
      <c r="J763" s="1419"/>
      <c r="K763" s="1419"/>
      <c r="L763" s="1416"/>
      <c r="M763" s="1416"/>
      <c r="N763" s="1416"/>
      <c r="O763" s="1416"/>
      <c r="P763" s="1416"/>
      <c r="Q763" s="1419"/>
      <c r="R763" s="1419"/>
      <c r="S763" s="1419"/>
      <c r="T763" s="1419"/>
      <c r="U763" s="1419"/>
    </row>
    <row r="764" spans="5:21" ht="14.25">
      <c r="E764" s="2595" t="s">
        <v>655</v>
      </c>
      <c r="F764" s="2596"/>
      <c r="G764" s="2596"/>
      <c r="H764" s="1419"/>
      <c r="I764" s="2597" t="s">
        <v>2229</v>
      </c>
      <c r="J764" s="2596"/>
      <c r="K764" s="2596"/>
      <c r="L764" s="2596"/>
      <c r="M764" s="2596"/>
      <c r="N764" s="1416"/>
      <c r="O764" s="1416"/>
      <c r="P764" s="1416"/>
      <c r="Q764" s="1419"/>
      <c r="R764" s="1419"/>
      <c r="S764" s="1419"/>
      <c r="T764" s="1419"/>
      <c r="U764" s="1419"/>
    </row>
    <row r="765" spans="5:21" ht="14.25">
      <c r="E765" s="1418"/>
      <c r="F765" s="1418"/>
      <c r="G765" s="1418"/>
      <c r="H765" s="1418"/>
      <c r="I765" s="1418"/>
      <c r="J765" s="1418"/>
      <c r="K765" s="1418"/>
      <c r="L765" s="1417"/>
      <c r="M765" s="1417"/>
      <c r="N765" s="1417"/>
      <c r="O765" s="1417"/>
      <c r="P765" s="1417"/>
      <c r="Q765" s="1418"/>
      <c r="R765" s="1418"/>
      <c r="S765" s="1418"/>
      <c r="T765" s="1418"/>
      <c r="U765" s="1419"/>
    </row>
    <row r="766" spans="5:21" ht="38.25">
      <c r="E766" s="1576"/>
      <c r="F766" s="1577" t="s">
        <v>657</v>
      </c>
      <c r="G766" s="2614" t="s">
        <v>587</v>
      </c>
      <c r="H766" s="2615"/>
      <c r="I766" s="2615"/>
      <c r="J766" s="2616"/>
      <c r="K766" s="1577" t="s">
        <v>658</v>
      </c>
      <c r="L766" s="2614" t="s">
        <v>659</v>
      </c>
      <c r="M766" s="2615"/>
      <c r="N766" s="2616"/>
      <c r="O766" s="1577" t="s">
        <v>660</v>
      </c>
      <c r="P766" s="1577" t="s">
        <v>661</v>
      </c>
      <c r="Q766" s="1577" t="s">
        <v>662</v>
      </c>
      <c r="R766" s="1577" t="s">
        <v>663</v>
      </c>
      <c r="S766" s="1577" t="s">
        <v>664</v>
      </c>
      <c r="T766" s="1577" t="s">
        <v>765</v>
      </c>
      <c r="U766" s="1577" t="s">
        <v>766</v>
      </c>
    </row>
    <row r="767" spans="5:21" ht="25.5">
      <c r="E767" s="1425"/>
      <c r="F767" s="1578">
        <v>1</v>
      </c>
      <c r="G767" s="2612" t="s">
        <v>2230</v>
      </c>
      <c r="H767" s="2574"/>
      <c r="I767" s="2574"/>
      <c r="J767" s="2575"/>
      <c r="K767" s="1578" t="s">
        <v>2231</v>
      </c>
      <c r="L767" s="2613">
        <v>91666.67</v>
      </c>
      <c r="M767" s="2577"/>
      <c r="N767" s="2578"/>
      <c r="O767" s="1579" t="s">
        <v>676</v>
      </c>
      <c r="P767" s="1579">
        <v>91000</v>
      </c>
      <c r="Q767" s="1578" t="s">
        <v>676</v>
      </c>
      <c r="R767" s="1578" t="s">
        <v>2232</v>
      </c>
      <c r="S767" s="1578" t="s">
        <v>2233</v>
      </c>
      <c r="T767" s="1578" t="s">
        <v>2234</v>
      </c>
      <c r="U767" s="1578" t="s">
        <v>673</v>
      </c>
    </row>
    <row r="768" spans="5:21" ht="15">
      <c r="E768" s="1425"/>
      <c r="F768" s="1578">
        <v>2</v>
      </c>
      <c r="G768" s="2612" t="s">
        <v>2235</v>
      </c>
      <c r="H768" s="2574"/>
      <c r="I768" s="2574"/>
      <c r="J768" s="2575"/>
      <c r="K768" s="1578" t="s">
        <v>1763</v>
      </c>
      <c r="L768" s="2613">
        <v>91666.67</v>
      </c>
      <c r="M768" s="2577"/>
      <c r="N768" s="2578"/>
      <c r="O768" s="1579" t="s">
        <v>676</v>
      </c>
      <c r="P768" s="1579">
        <v>82250</v>
      </c>
      <c r="Q768" s="1578" t="s">
        <v>676</v>
      </c>
      <c r="R768" s="1578" t="s">
        <v>2236</v>
      </c>
      <c r="S768" s="1578" t="s">
        <v>2237</v>
      </c>
      <c r="T768" s="1578" t="s">
        <v>2238</v>
      </c>
      <c r="U768" s="1578" t="s">
        <v>673</v>
      </c>
    </row>
    <row r="769" spans="5:21" ht="25.5">
      <c r="E769" s="1425"/>
      <c r="F769" s="1578">
        <v>3</v>
      </c>
      <c r="G769" s="2612" t="s">
        <v>2239</v>
      </c>
      <c r="H769" s="2574"/>
      <c r="I769" s="2574"/>
      <c r="J769" s="2575"/>
      <c r="K769" s="1578" t="s">
        <v>2240</v>
      </c>
      <c r="L769" s="2613">
        <v>33333.33</v>
      </c>
      <c r="M769" s="2577"/>
      <c r="N769" s="2578"/>
      <c r="O769" s="1579" t="s">
        <v>676</v>
      </c>
      <c r="P769" s="1579">
        <v>32500</v>
      </c>
      <c r="Q769" s="1578" t="s">
        <v>676</v>
      </c>
      <c r="R769" s="1578" t="s">
        <v>2232</v>
      </c>
      <c r="S769" s="1578" t="s">
        <v>2233</v>
      </c>
      <c r="T769" s="1578" t="s">
        <v>2241</v>
      </c>
      <c r="U769" s="1578" t="s">
        <v>673</v>
      </c>
    </row>
    <row r="770" spans="5:21" ht="14.25">
      <c r="E770" s="1418"/>
      <c r="F770" s="1435"/>
      <c r="G770" s="2589" t="s">
        <v>761</v>
      </c>
      <c r="H770" s="2589"/>
      <c r="I770" s="2589"/>
      <c r="J770" s="2589"/>
      <c r="K770" s="1435"/>
      <c r="L770" s="2590">
        <f>SUM(L767:L769)</f>
        <v>216666.66999999998</v>
      </c>
      <c r="M770" s="2591"/>
      <c r="N770" s="2592"/>
      <c r="O770" s="1433"/>
      <c r="P770" s="1433">
        <f>SUM(P767:P769)</f>
        <v>205750</v>
      </c>
      <c r="Q770" s="1434"/>
      <c r="R770" s="1435"/>
      <c r="S770" s="1436"/>
      <c r="T770" s="1436"/>
      <c r="U770" s="1436"/>
    </row>
    <row r="771" spans="5:21" ht="15">
      <c r="E771" s="1418"/>
      <c r="F771" s="1419"/>
      <c r="G771" s="1419"/>
      <c r="H771" s="1419"/>
      <c r="I771" s="1419"/>
      <c r="J771" s="1419"/>
      <c r="K771" s="1419"/>
      <c r="L771" s="1416"/>
      <c r="M771" s="1416"/>
      <c r="N771" s="1416"/>
      <c r="O771" s="1416"/>
      <c r="P771" s="1416"/>
      <c r="Q771" s="1419"/>
      <c r="R771" s="1437" t="s">
        <v>762</v>
      </c>
      <c r="S771" s="1418"/>
      <c r="T771" s="1418"/>
      <c r="U771" s="1419"/>
    </row>
    <row r="772" spans="5:21" ht="15">
      <c r="E772" s="1418"/>
      <c r="F772" s="1419"/>
      <c r="G772" s="1419"/>
      <c r="H772" s="1419"/>
      <c r="I772" s="1419"/>
      <c r="J772" s="1419"/>
      <c r="K772" s="1419"/>
      <c r="L772" s="1416"/>
      <c r="M772" s="1416"/>
      <c r="N772" s="1416"/>
      <c r="O772" s="1416"/>
      <c r="P772" s="1416"/>
      <c r="Q772" s="1419"/>
      <c r="R772" s="1437" t="s">
        <v>763</v>
      </c>
      <c r="S772" s="1418"/>
      <c r="T772" s="1418"/>
      <c r="U772" s="1419"/>
    </row>
    <row r="773" spans="5:21" ht="14.25">
      <c r="E773" s="1418"/>
      <c r="F773" s="1418"/>
      <c r="G773" s="1418"/>
      <c r="H773" s="1418"/>
      <c r="I773" s="1418"/>
      <c r="J773" s="1418"/>
      <c r="K773" s="1418"/>
      <c r="L773" s="1417"/>
      <c r="M773" s="1417"/>
      <c r="N773" s="1417"/>
      <c r="O773" s="1417"/>
      <c r="P773" s="1417"/>
      <c r="Q773" s="1418"/>
      <c r="R773" s="1418"/>
      <c r="S773" s="1418"/>
      <c r="T773" s="1418"/>
      <c r="U773" s="1419"/>
    </row>
    <row r="774" spans="5:21" ht="23.25">
      <c r="E774" s="2593" t="s">
        <v>652</v>
      </c>
      <c r="F774" s="2594"/>
      <c r="G774" s="2594"/>
      <c r="H774" s="2594"/>
      <c r="I774" s="2594"/>
      <c r="J774" s="2594"/>
      <c r="K774" s="2594"/>
      <c r="L774" s="2594"/>
      <c r="M774" s="1416"/>
      <c r="N774" s="1417"/>
      <c r="O774" s="1417"/>
      <c r="P774" s="1417"/>
      <c r="Q774" s="1418"/>
      <c r="R774" s="1418"/>
      <c r="S774" s="1418"/>
      <c r="T774" s="1418"/>
      <c r="U774" s="1419"/>
    </row>
    <row r="775" spans="5:21" ht="14.25">
      <c r="E775" s="1419"/>
      <c r="F775" s="1419"/>
      <c r="G775" s="1419"/>
      <c r="H775" s="1419"/>
      <c r="I775" s="1419"/>
      <c r="J775" s="1419"/>
      <c r="K775" s="1419"/>
      <c r="L775" s="1416"/>
      <c r="M775" s="1416"/>
      <c r="N775" s="1417"/>
      <c r="O775" s="1417"/>
      <c r="P775" s="1417"/>
      <c r="Q775" s="1418"/>
      <c r="R775" s="1418"/>
      <c r="S775" s="1418"/>
      <c r="T775" s="1418"/>
      <c r="U775" s="1419"/>
    </row>
    <row r="776" spans="5:21" ht="14.25">
      <c r="E776" s="2595" t="s">
        <v>653</v>
      </c>
      <c r="F776" s="2596"/>
      <c r="G776" s="2596"/>
      <c r="H776" s="1419"/>
      <c r="I776" s="1422" t="s">
        <v>654</v>
      </c>
      <c r="J776" s="1419"/>
      <c r="K776" s="1419"/>
      <c r="L776" s="1416"/>
      <c r="M776" s="1416"/>
      <c r="N776" s="1417"/>
      <c r="O776" s="1417"/>
      <c r="P776" s="1417"/>
      <c r="Q776" s="1418"/>
      <c r="R776" s="1418"/>
      <c r="S776" s="1418"/>
      <c r="T776" s="1418"/>
      <c r="U776" s="1419"/>
    </row>
    <row r="777" spans="5:21" ht="14.25">
      <c r="E777" s="1419"/>
      <c r="F777" s="1419"/>
      <c r="G777" s="1419"/>
      <c r="H777" s="1419"/>
      <c r="I777" s="1419"/>
      <c r="J777" s="1419"/>
      <c r="K777" s="1419"/>
      <c r="L777" s="1416"/>
      <c r="M777" s="1416"/>
      <c r="N777" s="1417"/>
      <c r="O777" s="1417"/>
      <c r="P777" s="1417"/>
      <c r="Q777" s="1418"/>
      <c r="R777" s="1418"/>
      <c r="S777" s="1418"/>
      <c r="T777" s="1418"/>
      <c r="U777" s="1419"/>
    </row>
    <row r="778" spans="5:21" ht="14.25">
      <c r="E778" s="2595" t="s">
        <v>655</v>
      </c>
      <c r="F778" s="2596"/>
      <c r="G778" s="2596"/>
      <c r="H778" s="1419"/>
      <c r="I778" s="2597" t="s">
        <v>2242</v>
      </c>
      <c r="J778" s="2596"/>
      <c r="K778" s="2596"/>
      <c r="L778" s="2596"/>
      <c r="M778" s="2596"/>
      <c r="N778" s="1417"/>
      <c r="O778" s="1417"/>
      <c r="P778" s="1417"/>
      <c r="Q778" s="1418"/>
      <c r="R778" s="1418"/>
      <c r="S778" s="1418"/>
      <c r="T778" s="1418"/>
      <c r="U778" s="1419"/>
    </row>
    <row r="779" spans="5:21" ht="14.25">
      <c r="E779" s="1418"/>
      <c r="F779" s="1418"/>
      <c r="G779" s="1418"/>
      <c r="H779" s="1418"/>
      <c r="I779" s="1418"/>
      <c r="J779" s="1418"/>
      <c r="K779" s="1418"/>
      <c r="L779" s="1417"/>
      <c r="M779" s="1417"/>
      <c r="N779" s="1417"/>
      <c r="O779" s="1417"/>
      <c r="P779" s="1417"/>
      <c r="Q779" s="1418"/>
      <c r="R779" s="1418"/>
      <c r="S779" s="1418"/>
      <c r="T779" s="1418"/>
      <c r="U779" s="1419"/>
    </row>
    <row r="780" spans="5:21" ht="38.25">
      <c r="E780" s="1425"/>
      <c r="F780" s="1426" t="s">
        <v>657</v>
      </c>
      <c r="G780" s="2588" t="s">
        <v>587</v>
      </c>
      <c r="H780" s="2574"/>
      <c r="I780" s="2574"/>
      <c r="J780" s="2575"/>
      <c r="K780" s="1426" t="s">
        <v>658</v>
      </c>
      <c r="L780" s="2588" t="s">
        <v>659</v>
      </c>
      <c r="M780" s="2574"/>
      <c r="N780" s="2575"/>
      <c r="O780" s="1426" t="s">
        <v>660</v>
      </c>
      <c r="P780" s="1426" t="s">
        <v>661</v>
      </c>
      <c r="Q780" s="1426" t="s">
        <v>662</v>
      </c>
      <c r="R780" s="1426" t="s">
        <v>663</v>
      </c>
      <c r="S780" s="1426" t="s">
        <v>664</v>
      </c>
      <c r="T780" s="1426" t="s">
        <v>665</v>
      </c>
      <c r="U780" s="1426" t="s">
        <v>666</v>
      </c>
    </row>
    <row r="781" spans="5:21" ht="38.25">
      <c r="E781" s="1425"/>
      <c r="F781" s="1427">
        <v>1</v>
      </c>
      <c r="G781" s="2573" t="s">
        <v>2243</v>
      </c>
      <c r="H781" s="2574"/>
      <c r="I781" s="2574"/>
      <c r="J781" s="2575"/>
      <c r="K781" s="1427" t="s">
        <v>2244</v>
      </c>
      <c r="L781" s="2576">
        <v>100000</v>
      </c>
      <c r="M781" s="2577"/>
      <c r="N781" s="2578"/>
      <c r="O781" s="1428" t="s">
        <v>676</v>
      </c>
      <c r="P781" s="1428">
        <v>94500</v>
      </c>
      <c r="Q781" s="1427" t="s">
        <v>676</v>
      </c>
      <c r="R781" s="1427" t="s">
        <v>2245</v>
      </c>
      <c r="S781" s="1427" t="s">
        <v>2246</v>
      </c>
      <c r="T781" s="1427" t="s">
        <v>2247</v>
      </c>
      <c r="U781" s="1427" t="s">
        <v>673</v>
      </c>
    </row>
    <row r="782" spans="5:21" ht="25.5">
      <c r="E782" s="1425"/>
      <c r="F782" s="1427">
        <v>2</v>
      </c>
      <c r="G782" s="2573" t="s">
        <v>2248</v>
      </c>
      <c r="H782" s="2574"/>
      <c r="I782" s="2574"/>
      <c r="J782" s="2575"/>
      <c r="K782" s="1427" t="s">
        <v>2249</v>
      </c>
      <c r="L782" s="2576">
        <v>100000</v>
      </c>
      <c r="M782" s="2577"/>
      <c r="N782" s="2578"/>
      <c r="O782" s="1428" t="s">
        <v>676</v>
      </c>
      <c r="P782" s="1428">
        <v>65000</v>
      </c>
      <c r="Q782" s="1427" t="s">
        <v>676</v>
      </c>
      <c r="R782" s="1427" t="s">
        <v>2250</v>
      </c>
      <c r="S782" s="1427" t="s">
        <v>2251</v>
      </c>
      <c r="T782" s="1427" t="s">
        <v>2252</v>
      </c>
      <c r="U782" s="1427" t="s">
        <v>673</v>
      </c>
    </row>
    <row r="783" spans="5:21" ht="14.25">
      <c r="E783" s="1418"/>
      <c r="F783" s="1435"/>
      <c r="G783" s="2589" t="s">
        <v>761</v>
      </c>
      <c r="H783" s="2589"/>
      <c r="I783" s="2589"/>
      <c r="J783" s="2589"/>
      <c r="K783" s="1435"/>
      <c r="L783" s="2590">
        <f>SUM(L781:N782)</f>
        <v>200000</v>
      </c>
      <c r="M783" s="2591"/>
      <c r="N783" s="2592"/>
      <c r="O783" s="1433"/>
      <c r="P783" s="1433">
        <f>SUM(P781:P782)</f>
        <v>159500</v>
      </c>
      <c r="Q783" s="1434"/>
      <c r="R783" s="1435"/>
      <c r="S783" s="1436"/>
      <c r="T783" s="1436"/>
      <c r="U783" s="1436"/>
    </row>
    <row r="784" spans="5:21" ht="15">
      <c r="E784" s="1418"/>
      <c r="F784" s="1419"/>
      <c r="G784" s="1419"/>
      <c r="H784" s="1419"/>
      <c r="I784" s="1419"/>
      <c r="J784" s="1419"/>
      <c r="K784" s="1419"/>
      <c r="L784" s="1416"/>
      <c r="M784" s="1416"/>
      <c r="N784" s="1416"/>
      <c r="O784" s="1416"/>
      <c r="P784" s="1416"/>
      <c r="Q784" s="1419"/>
      <c r="R784" s="1437" t="s">
        <v>762</v>
      </c>
      <c r="S784" s="1418"/>
      <c r="T784" s="1418"/>
      <c r="U784" s="1419"/>
    </row>
    <row r="785" spans="5:21" ht="15">
      <c r="E785" s="1418"/>
      <c r="F785" s="1419"/>
      <c r="G785" s="1419"/>
      <c r="H785" s="1419"/>
      <c r="I785" s="1419"/>
      <c r="J785" s="1419"/>
      <c r="K785" s="1419"/>
      <c r="L785" s="1416"/>
      <c r="M785" s="1416"/>
      <c r="N785" s="1416"/>
      <c r="O785" s="1416"/>
      <c r="P785" s="1416"/>
      <c r="Q785" s="1419"/>
      <c r="R785" s="1437" t="s">
        <v>763</v>
      </c>
      <c r="S785" s="1418"/>
      <c r="T785" s="1418"/>
      <c r="U785" s="1419"/>
    </row>
    <row r="786" spans="5:21" ht="14.25">
      <c r="E786" s="1418"/>
      <c r="F786" s="1418"/>
      <c r="G786" s="1418"/>
      <c r="H786" s="1418"/>
      <c r="I786" s="1418"/>
      <c r="J786" s="1418"/>
      <c r="K786" s="1418"/>
      <c r="L786" s="1417"/>
      <c r="M786" s="1417"/>
      <c r="N786" s="1417"/>
      <c r="O786" s="1417"/>
      <c r="P786" s="1417"/>
      <c r="Q786" s="1418"/>
      <c r="R786" s="1418"/>
      <c r="S786" s="1418"/>
      <c r="T786" s="1418"/>
      <c r="U786" s="1419"/>
    </row>
    <row r="787" spans="5:21" ht="23.25">
      <c r="E787" s="2593" t="s">
        <v>652</v>
      </c>
      <c r="F787" s="2594"/>
      <c r="G787" s="2594"/>
      <c r="H787" s="2594"/>
      <c r="I787" s="2594"/>
      <c r="J787" s="2594"/>
      <c r="K787" s="2594"/>
      <c r="L787" s="2594"/>
      <c r="M787" s="1416"/>
      <c r="N787" s="1416"/>
      <c r="O787" s="1416"/>
      <c r="P787" s="1416"/>
      <c r="Q787" s="1419"/>
      <c r="R787" s="1419"/>
      <c r="S787" s="1419"/>
      <c r="T787" s="1419"/>
      <c r="U787" s="1419"/>
    </row>
    <row r="788" spans="5:21" ht="14.25">
      <c r="E788" s="1419"/>
      <c r="F788" s="1419"/>
      <c r="G788" s="1419"/>
      <c r="H788" s="1419"/>
      <c r="I788" s="1419"/>
      <c r="J788" s="1419"/>
      <c r="K788" s="1419"/>
      <c r="L788" s="1416"/>
      <c r="M788" s="1416"/>
      <c r="N788" s="1416"/>
      <c r="O788" s="1416"/>
      <c r="P788" s="1416"/>
      <c r="Q788" s="1419"/>
      <c r="R788" s="1419"/>
      <c r="S788" s="1419"/>
      <c r="T788" s="1419"/>
      <c r="U788" s="1419"/>
    </row>
    <row r="789" spans="5:21" ht="14.25">
      <c r="E789" s="2595" t="s">
        <v>653</v>
      </c>
      <c r="F789" s="2596"/>
      <c r="G789" s="2596"/>
      <c r="H789" s="1419"/>
      <c r="I789" s="1422" t="s">
        <v>654</v>
      </c>
      <c r="J789" s="1419"/>
      <c r="K789" s="1419"/>
      <c r="L789" s="1416"/>
      <c r="M789" s="1416"/>
      <c r="N789" s="1416"/>
      <c r="O789" s="1416"/>
      <c r="P789" s="1416"/>
      <c r="Q789" s="1419"/>
      <c r="R789" s="1419"/>
      <c r="S789" s="1419"/>
      <c r="T789" s="1419"/>
      <c r="U789" s="1419"/>
    </row>
    <row r="790" spans="5:21" ht="14.25">
      <c r="E790" s="1419"/>
      <c r="F790" s="1419"/>
      <c r="G790" s="1419"/>
      <c r="H790" s="1419"/>
      <c r="I790" s="1419"/>
      <c r="J790" s="1419"/>
      <c r="K790" s="1419"/>
      <c r="L790" s="1416"/>
      <c r="M790" s="1416"/>
      <c r="N790" s="1416"/>
      <c r="O790" s="1416"/>
      <c r="P790" s="1416"/>
      <c r="Q790" s="1419"/>
      <c r="R790" s="1419"/>
      <c r="S790" s="1419"/>
      <c r="T790" s="1419"/>
      <c r="U790" s="1419"/>
    </row>
    <row r="791" spans="5:21" ht="14.25">
      <c r="E791" s="2595" t="s">
        <v>655</v>
      </c>
      <c r="F791" s="2596"/>
      <c r="G791" s="2596"/>
      <c r="H791" s="1419"/>
      <c r="I791" s="2597" t="s">
        <v>2253</v>
      </c>
      <c r="J791" s="2596"/>
      <c r="K791" s="2596"/>
      <c r="L791" s="2596"/>
      <c r="M791" s="2596"/>
      <c r="N791" s="1416"/>
      <c r="O791" s="1416"/>
      <c r="P791" s="1416"/>
      <c r="Q791" s="1419"/>
      <c r="R791" s="1419"/>
      <c r="S791" s="1419"/>
      <c r="T791" s="1419"/>
      <c r="U791" s="1419"/>
    </row>
    <row r="792" spans="5:21" ht="14.25">
      <c r="E792" s="1419"/>
      <c r="F792" s="1419"/>
      <c r="G792" s="1419"/>
      <c r="H792" s="1419"/>
      <c r="I792" s="1419"/>
      <c r="J792" s="1419"/>
      <c r="K792" s="1419"/>
      <c r="L792" s="1416"/>
      <c r="M792" s="1416"/>
      <c r="N792" s="1416"/>
      <c r="O792" s="1416"/>
      <c r="P792" s="1416"/>
      <c r="Q792" s="1419"/>
      <c r="R792" s="1419"/>
      <c r="S792" s="1419"/>
      <c r="T792" s="1419"/>
      <c r="U792" s="1419"/>
    </row>
    <row r="793" spans="5:21" ht="38.25">
      <c r="E793" s="1497"/>
      <c r="F793" s="1544" t="s">
        <v>657</v>
      </c>
      <c r="G793" s="2607" t="s">
        <v>587</v>
      </c>
      <c r="H793" s="2608"/>
      <c r="I793" s="2608"/>
      <c r="J793" s="2608"/>
      <c r="K793" s="1544" t="s">
        <v>658</v>
      </c>
      <c r="L793" s="2609" t="s">
        <v>659</v>
      </c>
      <c r="M793" s="2610"/>
      <c r="N793" s="2611"/>
      <c r="O793" s="1560" t="s">
        <v>660</v>
      </c>
      <c r="P793" s="1560" t="s">
        <v>661</v>
      </c>
      <c r="Q793" s="1544" t="s">
        <v>662</v>
      </c>
      <c r="R793" s="1544" t="s">
        <v>663</v>
      </c>
      <c r="S793" s="1544" t="s">
        <v>664</v>
      </c>
      <c r="T793" s="1426" t="s">
        <v>665</v>
      </c>
      <c r="U793" s="1426" t="s">
        <v>666</v>
      </c>
    </row>
    <row r="794" spans="5:21" ht="14.25">
      <c r="E794" s="1419"/>
      <c r="F794" s="1435"/>
      <c r="G794" s="2589" t="s">
        <v>761</v>
      </c>
      <c r="H794" s="2589"/>
      <c r="I794" s="2589"/>
      <c r="J794" s="2589"/>
      <c r="K794" s="1435"/>
      <c r="L794" s="2590">
        <v>0</v>
      </c>
      <c r="M794" s="2591"/>
      <c r="N794" s="2592"/>
      <c r="O794" s="1433"/>
      <c r="P794" s="1433">
        <v>0</v>
      </c>
      <c r="Q794" s="1434"/>
      <c r="R794" s="1435"/>
      <c r="S794" s="1435"/>
      <c r="T794" s="1435"/>
      <c r="U794" s="1435"/>
    </row>
    <row r="795" spans="5:21" ht="15">
      <c r="E795" s="1419"/>
      <c r="F795" s="1419"/>
      <c r="G795" s="1419"/>
      <c r="H795" s="1419"/>
      <c r="I795" s="1419"/>
      <c r="J795" s="1419"/>
      <c r="K795" s="1419"/>
      <c r="L795" s="1416"/>
      <c r="M795" s="1416"/>
      <c r="N795" s="1416"/>
      <c r="O795" s="1416"/>
      <c r="P795" s="1416"/>
      <c r="Q795" s="1419"/>
      <c r="R795" s="1437" t="s">
        <v>762</v>
      </c>
      <c r="S795" s="1419"/>
      <c r="T795" s="1419"/>
      <c r="U795" s="1419"/>
    </row>
    <row r="796" spans="5:21" ht="15">
      <c r="E796" s="1419"/>
      <c r="F796" s="1419"/>
      <c r="G796" s="1419"/>
      <c r="H796" s="1419"/>
      <c r="I796" s="1419"/>
      <c r="J796" s="1419"/>
      <c r="K796" s="1419"/>
      <c r="L796" s="1416"/>
      <c r="M796" s="1416"/>
      <c r="N796" s="1416"/>
      <c r="O796" s="1416"/>
      <c r="P796" s="1416"/>
      <c r="Q796" s="1419"/>
      <c r="R796" s="1437" t="s">
        <v>763</v>
      </c>
      <c r="S796" s="1419"/>
      <c r="T796" s="1419"/>
      <c r="U796" s="1419"/>
    </row>
    <row r="797" spans="5:21" ht="14.25">
      <c r="E797" s="1418"/>
      <c r="F797" s="1418"/>
      <c r="G797" s="1418"/>
      <c r="H797" s="1418"/>
      <c r="I797" s="1418"/>
      <c r="J797" s="1418"/>
      <c r="K797" s="1418"/>
      <c r="L797" s="1417"/>
      <c r="M797" s="1417"/>
      <c r="N797" s="1417"/>
      <c r="O797" s="1417"/>
      <c r="P797" s="1417"/>
      <c r="Q797" s="1418"/>
      <c r="R797" s="1418"/>
      <c r="S797" s="1418"/>
      <c r="T797" s="1418"/>
      <c r="U797" s="1419"/>
    </row>
    <row r="798" spans="5:21" ht="23.25">
      <c r="E798" s="2593" t="s">
        <v>652</v>
      </c>
      <c r="F798" s="2594"/>
      <c r="G798" s="2594"/>
      <c r="H798" s="2594"/>
      <c r="I798" s="2594"/>
      <c r="J798" s="2594"/>
      <c r="K798" s="2594"/>
      <c r="L798" s="2594"/>
      <c r="M798" s="1416"/>
      <c r="N798" s="1416"/>
      <c r="O798" s="1416"/>
      <c r="P798" s="1416"/>
      <c r="Q798" s="1419"/>
      <c r="R798" s="1419"/>
      <c r="S798" s="1419"/>
      <c r="T798" s="1419"/>
      <c r="U798" s="1419"/>
    </row>
    <row r="799" spans="5:21" ht="14.25">
      <c r="E799" s="1419"/>
      <c r="F799" s="1419"/>
      <c r="G799" s="1419"/>
      <c r="H799" s="1419"/>
      <c r="I799" s="1419"/>
      <c r="J799" s="1419"/>
      <c r="K799" s="1419"/>
      <c r="L799" s="1416"/>
      <c r="M799" s="1416"/>
      <c r="N799" s="1416"/>
      <c r="O799" s="1416"/>
      <c r="P799" s="1416"/>
      <c r="Q799" s="1419"/>
      <c r="R799" s="1419"/>
      <c r="S799" s="1419"/>
      <c r="T799" s="1419"/>
      <c r="U799" s="1419"/>
    </row>
    <row r="800" spans="5:21" ht="14.25">
      <c r="E800" s="2604" t="s">
        <v>653</v>
      </c>
      <c r="F800" s="2596"/>
      <c r="G800" s="2596"/>
      <c r="H800" s="1419"/>
      <c r="I800" s="1463" t="s">
        <v>654</v>
      </c>
      <c r="J800" s="1419"/>
      <c r="K800" s="1419"/>
      <c r="L800" s="1416"/>
      <c r="M800" s="1416"/>
      <c r="N800" s="1416"/>
      <c r="O800" s="1416"/>
      <c r="P800" s="1416"/>
      <c r="Q800" s="1419"/>
      <c r="R800" s="1419"/>
      <c r="S800" s="1419"/>
      <c r="T800" s="1419"/>
      <c r="U800" s="1419"/>
    </row>
    <row r="801" spans="5:21" ht="14.25">
      <c r="E801" s="1419"/>
      <c r="F801" s="1419"/>
      <c r="G801" s="1419"/>
      <c r="H801" s="1419"/>
      <c r="I801" s="1419"/>
      <c r="J801" s="1419"/>
      <c r="K801" s="1419"/>
      <c r="L801" s="1416"/>
      <c r="M801" s="1416"/>
      <c r="N801" s="1416"/>
      <c r="O801" s="1416"/>
      <c r="P801" s="1416"/>
      <c r="Q801" s="1419"/>
      <c r="R801" s="1419"/>
      <c r="S801" s="1419"/>
      <c r="T801" s="1419"/>
      <c r="U801" s="1419"/>
    </row>
    <row r="802" spans="5:21" ht="14.25">
      <c r="E802" s="2604" t="s">
        <v>655</v>
      </c>
      <c r="F802" s="2596"/>
      <c r="G802" s="2596"/>
      <c r="H802" s="1419"/>
      <c r="I802" s="2605" t="s">
        <v>2254</v>
      </c>
      <c r="J802" s="2596"/>
      <c r="K802" s="2596"/>
      <c r="L802" s="2596"/>
      <c r="M802" s="2596"/>
      <c r="N802" s="1416"/>
      <c r="O802" s="1416"/>
      <c r="P802" s="1416"/>
      <c r="Q802" s="1419"/>
      <c r="R802" s="1419"/>
      <c r="S802" s="1419"/>
      <c r="T802" s="1419"/>
      <c r="U802" s="1419"/>
    </row>
    <row r="803" spans="5:21" ht="14.25">
      <c r="E803" s="1418"/>
      <c r="F803" s="1418"/>
      <c r="G803" s="1418"/>
      <c r="H803" s="1418"/>
      <c r="I803" s="1418"/>
      <c r="J803" s="1418"/>
      <c r="K803" s="1418"/>
      <c r="L803" s="1417"/>
      <c r="M803" s="1417"/>
      <c r="N803" s="1417"/>
      <c r="O803" s="1417"/>
      <c r="P803" s="1417"/>
      <c r="Q803" s="1418"/>
      <c r="R803" s="1418"/>
      <c r="S803" s="1418"/>
      <c r="T803" s="1418"/>
      <c r="U803" s="1419"/>
    </row>
    <row r="804" spans="5:21" ht="38.25">
      <c r="E804" s="1453"/>
      <c r="F804" s="1477" t="s">
        <v>657</v>
      </c>
      <c r="G804" s="2606" t="s">
        <v>587</v>
      </c>
      <c r="H804" s="2599"/>
      <c r="I804" s="2599"/>
      <c r="J804" s="2600"/>
      <c r="K804" s="1477" t="s">
        <v>658</v>
      </c>
      <c r="L804" s="2606" t="s">
        <v>659</v>
      </c>
      <c r="M804" s="2599"/>
      <c r="N804" s="2600"/>
      <c r="O804" s="1477" t="s">
        <v>660</v>
      </c>
      <c r="P804" s="1477" t="s">
        <v>661</v>
      </c>
      <c r="Q804" s="1477" t="s">
        <v>662</v>
      </c>
      <c r="R804" s="1477" t="s">
        <v>663</v>
      </c>
      <c r="S804" s="1477" t="s">
        <v>664</v>
      </c>
      <c r="T804" s="1477" t="s">
        <v>665</v>
      </c>
      <c r="U804" s="1477" t="s">
        <v>666</v>
      </c>
    </row>
    <row r="805" spans="5:21" ht="15">
      <c r="E805" s="1453"/>
      <c r="F805" s="1478">
        <v>1</v>
      </c>
      <c r="G805" s="2598" t="s">
        <v>2255</v>
      </c>
      <c r="H805" s="2599"/>
      <c r="I805" s="2599"/>
      <c r="J805" s="2600"/>
      <c r="K805" s="1478" t="s">
        <v>1212</v>
      </c>
      <c r="L805" s="2601">
        <v>300000</v>
      </c>
      <c r="M805" s="2602"/>
      <c r="N805" s="2603"/>
      <c r="O805" s="1479" t="s">
        <v>688</v>
      </c>
      <c r="P805" s="1480">
        <v>156400</v>
      </c>
      <c r="Q805" s="1481" t="s">
        <v>2256</v>
      </c>
      <c r="R805" s="1481" t="s">
        <v>2257</v>
      </c>
      <c r="S805" s="1481" t="s">
        <v>2258</v>
      </c>
      <c r="T805" s="1481" t="s">
        <v>2259</v>
      </c>
      <c r="U805" s="1481" t="s">
        <v>704</v>
      </c>
    </row>
    <row r="806" spans="5:21" ht="15">
      <c r="E806" s="1453"/>
      <c r="F806" s="1478">
        <v>2</v>
      </c>
      <c r="G806" s="2598" t="s">
        <v>2260</v>
      </c>
      <c r="H806" s="2599"/>
      <c r="I806" s="2599"/>
      <c r="J806" s="2600"/>
      <c r="K806" s="1478" t="s">
        <v>1212</v>
      </c>
      <c r="L806" s="2601">
        <v>28600</v>
      </c>
      <c r="M806" s="2602"/>
      <c r="N806" s="2603"/>
      <c r="O806" s="1479" t="s">
        <v>676</v>
      </c>
      <c r="P806" s="1480">
        <v>26800</v>
      </c>
      <c r="Q806" s="1481" t="s">
        <v>676</v>
      </c>
      <c r="R806" s="1481" t="s">
        <v>2257</v>
      </c>
      <c r="S806" s="1481" t="s">
        <v>2258</v>
      </c>
      <c r="T806" s="1481" t="s">
        <v>2261</v>
      </c>
      <c r="U806" s="1481" t="s">
        <v>673</v>
      </c>
    </row>
    <row r="807" spans="5:21" ht="25.5">
      <c r="E807" s="1453"/>
      <c r="F807" s="1478">
        <v>3</v>
      </c>
      <c r="G807" s="2598" t="s">
        <v>2262</v>
      </c>
      <c r="H807" s="2599"/>
      <c r="I807" s="2599"/>
      <c r="J807" s="2600"/>
      <c r="K807" s="1478" t="s">
        <v>1787</v>
      </c>
      <c r="L807" s="2601">
        <v>95000</v>
      </c>
      <c r="M807" s="2602"/>
      <c r="N807" s="2603"/>
      <c r="O807" s="1479" t="s">
        <v>676</v>
      </c>
      <c r="P807" s="1480">
        <v>94917</v>
      </c>
      <c r="Q807" s="1481" t="s">
        <v>676</v>
      </c>
      <c r="R807" s="1481" t="s">
        <v>2263</v>
      </c>
      <c r="S807" s="1481" t="s">
        <v>2264</v>
      </c>
      <c r="T807" s="1481" t="s">
        <v>2265</v>
      </c>
      <c r="U807" s="1481" t="s">
        <v>673</v>
      </c>
    </row>
    <row r="808" spans="5:21" ht="14.25">
      <c r="E808" s="1419"/>
      <c r="F808" s="1435"/>
      <c r="G808" s="2589" t="s">
        <v>761</v>
      </c>
      <c r="H808" s="2589"/>
      <c r="I808" s="2589"/>
      <c r="J808" s="2589"/>
      <c r="K808" s="1435"/>
      <c r="L808" s="2590">
        <f>SUM(L805:L807)</f>
        <v>423600</v>
      </c>
      <c r="M808" s="2591"/>
      <c r="N808" s="2592"/>
      <c r="O808" s="1433"/>
      <c r="P808" s="1433">
        <f>SUM(P805:P807)</f>
        <v>278117</v>
      </c>
      <c r="Q808" s="1434"/>
      <c r="R808" s="1435"/>
      <c r="S808" s="1435"/>
      <c r="T808" s="1435"/>
      <c r="U808" s="1435"/>
    </row>
    <row r="809" spans="5:21" ht="15">
      <c r="E809" s="1419"/>
      <c r="F809" s="1419"/>
      <c r="G809" s="1419"/>
      <c r="H809" s="1419"/>
      <c r="I809" s="1419"/>
      <c r="J809" s="1419"/>
      <c r="K809" s="1419"/>
      <c r="L809" s="1416"/>
      <c r="M809" s="1416"/>
      <c r="N809" s="1416"/>
      <c r="O809" s="1416"/>
      <c r="P809" s="1416"/>
      <c r="Q809" s="1419"/>
      <c r="R809" s="1437" t="s">
        <v>762</v>
      </c>
      <c r="S809" s="1419"/>
      <c r="T809" s="1419"/>
      <c r="U809" s="1419"/>
    </row>
    <row r="810" spans="5:21" ht="15">
      <c r="E810" s="1419"/>
      <c r="F810" s="1419"/>
      <c r="G810" s="1419"/>
      <c r="H810" s="1419"/>
      <c r="I810" s="1419"/>
      <c r="J810" s="1419"/>
      <c r="K810" s="1419"/>
      <c r="L810" s="1416"/>
      <c r="M810" s="1416"/>
      <c r="N810" s="1416"/>
      <c r="O810" s="1416"/>
      <c r="P810" s="1416"/>
      <c r="Q810" s="1419"/>
      <c r="R810" s="1437" t="s">
        <v>763</v>
      </c>
      <c r="S810" s="1419"/>
      <c r="T810" s="1419"/>
      <c r="U810" s="1419"/>
    </row>
    <row r="811" spans="5:21" ht="14.25">
      <c r="E811" s="1418"/>
      <c r="F811" s="1418"/>
      <c r="G811" s="1418"/>
      <c r="H811" s="1418"/>
      <c r="I811" s="1418"/>
      <c r="J811" s="1418"/>
      <c r="K811" s="1418"/>
      <c r="L811" s="1417"/>
      <c r="M811" s="1417"/>
      <c r="N811" s="1417"/>
      <c r="O811" s="1417"/>
      <c r="P811" s="1417"/>
      <c r="Q811" s="1418"/>
      <c r="R811" s="1418"/>
      <c r="S811" s="1418"/>
      <c r="T811" s="1418"/>
      <c r="U811" s="1418"/>
    </row>
    <row r="812" spans="5:21" ht="23.25">
      <c r="E812" s="2593" t="s">
        <v>652</v>
      </c>
      <c r="F812" s="2594"/>
      <c r="G812" s="2594"/>
      <c r="H812" s="2594"/>
      <c r="I812" s="2594"/>
      <c r="J812" s="2594"/>
      <c r="K812" s="2594"/>
      <c r="L812" s="2594"/>
      <c r="M812" s="1416"/>
      <c r="N812" s="1416"/>
      <c r="O812" s="1416"/>
      <c r="P812" s="1416"/>
      <c r="Q812" s="1419"/>
      <c r="R812" s="1419"/>
      <c r="S812" s="1419"/>
      <c r="T812" s="1419"/>
      <c r="U812" s="1419"/>
    </row>
    <row r="813" spans="5:21" ht="14.25">
      <c r="E813" s="1419"/>
      <c r="F813" s="1419"/>
      <c r="G813" s="1419"/>
      <c r="H813" s="1419"/>
      <c r="I813" s="1419"/>
      <c r="J813" s="1419"/>
      <c r="K813" s="1419"/>
      <c r="L813" s="1416"/>
      <c r="M813" s="1416"/>
      <c r="N813" s="1416"/>
      <c r="O813" s="1416"/>
      <c r="P813" s="1416"/>
      <c r="Q813" s="1419"/>
      <c r="R813" s="1419"/>
      <c r="S813" s="1419"/>
      <c r="T813" s="1419"/>
      <c r="U813" s="1419"/>
    </row>
    <row r="814" spans="5:21" ht="14.25">
      <c r="E814" s="2595" t="s">
        <v>653</v>
      </c>
      <c r="F814" s="2596"/>
      <c r="G814" s="2596"/>
      <c r="H814" s="1419"/>
      <c r="I814" s="1422" t="s">
        <v>654</v>
      </c>
      <c r="J814" s="1419"/>
      <c r="K814" s="1419"/>
      <c r="L814" s="1416"/>
      <c r="M814" s="1416"/>
      <c r="N814" s="1416"/>
      <c r="O814" s="1416"/>
      <c r="P814" s="1416"/>
      <c r="Q814" s="1419"/>
      <c r="R814" s="1419"/>
      <c r="S814" s="1419"/>
      <c r="T814" s="1419"/>
      <c r="U814" s="1419"/>
    </row>
    <row r="815" spans="5:21" ht="14.25">
      <c r="E815" s="1419"/>
      <c r="F815" s="1419"/>
      <c r="G815" s="1419"/>
      <c r="H815" s="1419"/>
      <c r="I815" s="1419"/>
      <c r="J815" s="1419"/>
      <c r="K815" s="1419"/>
      <c r="L815" s="1416"/>
      <c r="M815" s="1416"/>
      <c r="N815" s="1416"/>
      <c r="O815" s="1416"/>
      <c r="P815" s="1416"/>
      <c r="Q815" s="1419"/>
      <c r="R815" s="1419"/>
      <c r="S815" s="1419"/>
      <c r="T815" s="1419"/>
      <c r="U815" s="1419"/>
    </row>
    <row r="816" spans="5:21" ht="14.25">
      <c r="E816" s="2595" t="s">
        <v>655</v>
      </c>
      <c r="F816" s="2596"/>
      <c r="G816" s="2596"/>
      <c r="H816" s="1419"/>
      <c r="I816" s="2597" t="s">
        <v>2266</v>
      </c>
      <c r="J816" s="2596"/>
      <c r="K816" s="2596"/>
      <c r="L816" s="2596"/>
      <c r="M816" s="2596"/>
      <c r="N816" s="1416"/>
      <c r="O816" s="1416"/>
      <c r="P816" s="1416"/>
      <c r="Q816" s="1419"/>
      <c r="R816" s="1419"/>
      <c r="S816" s="1419"/>
      <c r="T816" s="1419"/>
      <c r="U816" s="1419"/>
    </row>
    <row r="817" spans="5:21" ht="14.25">
      <c r="E817" s="1418"/>
      <c r="F817" s="1418"/>
      <c r="G817" s="1418"/>
      <c r="H817" s="1418"/>
      <c r="I817" s="1418"/>
      <c r="J817" s="1418"/>
      <c r="K817" s="1418"/>
      <c r="L817" s="1417"/>
      <c r="M817" s="1417"/>
      <c r="N817" s="1417"/>
      <c r="O817" s="1417"/>
      <c r="P817" s="1417"/>
      <c r="Q817" s="1418"/>
      <c r="R817" s="1418"/>
      <c r="S817" s="1418"/>
      <c r="T817" s="1418"/>
      <c r="U817" s="1419"/>
    </row>
    <row r="818" spans="5:21" ht="38.25">
      <c r="E818" s="1453"/>
      <c r="F818" s="1426" t="s">
        <v>657</v>
      </c>
      <c r="G818" s="2588" t="s">
        <v>587</v>
      </c>
      <c r="H818" s="2574"/>
      <c r="I818" s="2574"/>
      <c r="J818" s="2575"/>
      <c r="K818" s="1426" t="s">
        <v>658</v>
      </c>
      <c r="L818" s="2588" t="s">
        <v>659</v>
      </c>
      <c r="M818" s="2574"/>
      <c r="N818" s="2575"/>
      <c r="O818" s="1426" t="s">
        <v>660</v>
      </c>
      <c r="P818" s="1426" t="s">
        <v>661</v>
      </c>
      <c r="Q818" s="1426" t="s">
        <v>662</v>
      </c>
      <c r="R818" s="1426" t="s">
        <v>663</v>
      </c>
      <c r="S818" s="1426" t="s">
        <v>664</v>
      </c>
      <c r="T818" s="1426" t="s">
        <v>665</v>
      </c>
      <c r="U818" s="1426" t="s">
        <v>666</v>
      </c>
    </row>
    <row r="819" spans="5:21" ht="63.75">
      <c r="E819" s="1453"/>
      <c r="F819" s="1427">
        <v>1</v>
      </c>
      <c r="G819" s="2573" t="s">
        <v>2267</v>
      </c>
      <c r="H819" s="2574"/>
      <c r="I819" s="2574"/>
      <c r="J819" s="2575"/>
      <c r="K819" s="1427" t="s">
        <v>2268</v>
      </c>
      <c r="L819" s="2576">
        <v>100000</v>
      </c>
      <c r="M819" s="2577"/>
      <c r="N819" s="2578"/>
      <c r="O819" s="1428" t="s">
        <v>676</v>
      </c>
      <c r="P819" s="1428">
        <v>25800</v>
      </c>
      <c r="Q819" s="1427" t="s">
        <v>676</v>
      </c>
      <c r="R819" s="1427" t="s">
        <v>2162</v>
      </c>
      <c r="S819" s="1427" t="s">
        <v>2163</v>
      </c>
      <c r="T819" s="1427" t="s">
        <v>2269</v>
      </c>
      <c r="U819" s="1427" t="s">
        <v>673</v>
      </c>
    </row>
    <row r="820" spans="5:21" ht="15">
      <c r="E820" s="1453"/>
      <c r="F820" s="1427">
        <v>2</v>
      </c>
      <c r="G820" s="2573" t="s">
        <v>2270</v>
      </c>
      <c r="H820" s="2574"/>
      <c r="I820" s="2574"/>
      <c r="J820" s="2575"/>
      <c r="K820" s="1427" t="s">
        <v>2271</v>
      </c>
      <c r="L820" s="2576">
        <v>10000</v>
      </c>
      <c r="M820" s="2577"/>
      <c r="N820" s="2578"/>
      <c r="O820" s="1428" t="s">
        <v>676</v>
      </c>
      <c r="P820" s="1428">
        <v>3500</v>
      </c>
      <c r="Q820" s="1427" t="s">
        <v>676</v>
      </c>
      <c r="R820" s="1427" t="s">
        <v>2272</v>
      </c>
      <c r="S820" s="1427" t="s">
        <v>2273</v>
      </c>
      <c r="T820" s="1427" t="s">
        <v>2274</v>
      </c>
      <c r="U820" s="1427" t="s">
        <v>673</v>
      </c>
    </row>
    <row r="821" spans="5:21" ht="63.75">
      <c r="E821" s="1453"/>
      <c r="F821" s="1427">
        <v>3</v>
      </c>
      <c r="G821" s="2573" t="s">
        <v>2275</v>
      </c>
      <c r="H821" s="2574"/>
      <c r="I821" s="2574"/>
      <c r="J821" s="2575"/>
      <c r="K821" s="1427" t="s">
        <v>2276</v>
      </c>
      <c r="L821" s="2576">
        <v>100000</v>
      </c>
      <c r="M821" s="2577"/>
      <c r="N821" s="2578"/>
      <c r="O821" s="1428" t="s">
        <v>676</v>
      </c>
      <c r="P821" s="1428">
        <v>51167</v>
      </c>
      <c r="Q821" s="1427" t="s">
        <v>676</v>
      </c>
      <c r="R821" s="1427" t="s">
        <v>2277</v>
      </c>
      <c r="S821" s="1427" t="s">
        <v>2278</v>
      </c>
      <c r="T821" s="1427" t="s">
        <v>2279</v>
      </c>
      <c r="U821" s="1427" t="s">
        <v>673</v>
      </c>
    </row>
    <row r="822" spans="5:21" ht="38.25">
      <c r="E822" s="1453"/>
      <c r="F822" s="1427">
        <v>4</v>
      </c>
      <c r="G822" s="2573" t="s">
        <v>2280</v>
      </c>
      <c r="H822" s="2574"/>
      <c r="I822" s="2574"/>
      <c r="J822" s="2575"/>
      <c r="K822" s="1427" t="s">
        <v>2281</v>
      </c>
      <c r="L822" s="2576">
        <v>100000</v>
      </c>
      <c r="M822" s="2577"/>
      <c r="N822" s="2578"/>
      <c r="O822" s="1428" t="s">
        <v>676</v>
      </c>
      <c r="P822" s="1428">
        <v>18274</v>
      </c>
      <c r="Q822" s="1427" t="s">
        <v>676</v>
      </c>
      <c r="R822" s="1427" t="s">
        <v>2282</v>
      </c>
      <c r="S822" s="1427" t="s">
        <v>2283</v>
      </c>
      <c r="T822" s="1427" t="s">
        <v>2284</v>
      </c>
      <c r="U822" s="1427" t="s">
        <v>673</v>
      </c>
    </row>
    <row r="823" spans="5:21" ht="15">
      <c r="E823" s="1453"/>
      <c r="F823" s="1427">
        <v>5</v>
      </c>
      <c r="G823" s="2573" t="s">
        <v>2285</v>
      </c>
      <c r="H823" s="2574"/>
      <c r="I823" s="2574"/>
      <c r="J823" s="2575"/>
      <c r="K823" s="1427" t="s">
        <v>711</v>
      </c>
      <c r="L823" s="2576">
        <v>100000</v>
      </c>
      <c r="M823" s="2577"/>
      <c r="N823" s="2578"/>
      <c r="O823" s="1428" t="s">
        <v>676</v>
      </c>
      <c r="P823" s="1428">
        <v>79086</v>
      </c>
      <c r="Q823" s="1427" t="s">
        <v>676</v>
      </c>
      <c r="R823" s="1427" t="s">
        <v>2286</v>
      </c>
      <c r="S823" s="1427" t="s">
        <v>2287</v>
      </c>
      <c r="T823" s="1427" t="s">
        <v>2288</v>
      </c>
      <c r="U823" s="1427" t="s">
        <v>673</v>
      </c>
    </row>
    <row r="824" spans="5:21" ht="14.25">
      <c r="E824" s="1418"/>
      <c r="F824" s="1435"/>
      <c r="G824" s="2589" t="s">
        <v>761</v>
      </c>
      <c r="H824" s="2589"/>
      <c r="I824" s="2589"/>
      <c r="J824" s="2589"/>
      <c r="K824" s="1435"/>
      <c r="L824" s="2590">
        <f>SUM(L819:L823)</f>
        <v>410000</v>
      </c>
      <c r="M824" s="2591"/>
      <c r="N824" s="2592"/>
      <c r="O824" s="1433"/>
      <c r="P824" s="1433">
        <f>SUM(P819:P823)</f>
        <v>177827</v>
      </c>
      <c r="Q824" s="1434"/>
      <c r="R824" s="1435"/>
      <c r="S824" s="1436"/>
      <c r="T824" s="1436"/>
      <c r="U824" s="1436"/>
    </row>
    <row r="825" spans="5:21" ht="15">
      <c r="E825" s="1418"/>
      <c r="F825" s="1419"/>
      <c r="G825" s="1419"/>
      <c r="H825" s="1419"/>
      <c r="I825" s="1419"/>
      <c r="J825" s="1419"/>
      <c r="K825" s="1419"/>
      <c r="L825" s="1416"/>
      <c r="M825" s="1416"/>
      <c r="N825" s="1416"/>
      <c r="O825" s="1416"/>
      <c r="P825" s="1416"/>
      <c r="Q825" s="1419"/>
      <c r="R825" s="1437" t="s">
        <v>762</v>
      </c>
      <c r="S825" s="1418"/>
      <c r="T825" s="1418"/>
      <c r="U825" s="1419"/>
    </row>
    <row r="826" spans="5:21" ht="15">
      <c r="E826" s="1418"/>
      <c r="F826" s="1419"/>
      <c r="G826" s="1419"/>
      <c r="H826" s="1419"/>
      <c r="I826" s="1419"/>
      <c r="J826" s="1419"/>
      <c r="K826" s="1419"/>
      <c r="L826" s="1416"/>
      <c r="M826" s="1416"/>
      <c r="N826" s="1416"/>
      <c r="O826" s="1416"/>
      <c r="P826" s="1416"/>
      <c r="Q826" s="1419"/>
      <c r="R826" s="1437" t="s">
        <v>763</v>
      </c>
      <c r="S826" s="1418"/>
      <c r="T826" s="1418"/>
      <c r="U826" s="1419"/>
    </row>
    <row r="827" spans="5:21" ht="14.25">
      <c r="E827" s="1418"/>
      <c r="F827" s="1418"/>
      <c r="G827" s="1418"/>
      <c r="H827" s="1418"/>
      <c r="I827" s="1418"/>
      <c r="J827" s="1418"/>
      <c r="K827" s="1418"/>
      <c r="L827" s="1417"/>
      <c r="M827" s="1417"/>
      <c r="N827" s="1417"/>
      <c r="O827" s="1417"/>
      <c r="P827" s="1417"/>
      <c r="Q827" s="1418"/>
      <c r="R827" s="1418"/>
      <c r="S827" s="1418"/>
      <c r="T827" s="1418"/>
      <c r="U827" s="1418"/>
    </row>
    <row r="828" spans="5:21" ht="23.25">
      <c r="E828" s="2583" t="s">
        <v>652</v>
      </c>
      <c r="F828" s="2584"/>
      <c r="G828" s="2584"/>
      <c r="H828" s="2584"/>
      <c r="I828" s="2584"/>
      <c r="J828" s="2584"/>
      <c r="K828" s="2584"/>
      <c r="L828" s="2584"/>
      <c r="M828" s="1580"/>
      <c r="N828" s="1580"/>
      <c r="O828" s="1580"/>
      <c r="P828" s="1580"/>
      <c r="Q828" s="1581"/>
      <c r="R828" s="1581"/>
      <c r="S828" s="1581"/>
      <c r="T828" s="1581"/>
      <c r="U828" s="1581"/>
    </row>
    <row r="829" spans="5:21" ht="14.25">
      <c r="E829" s="1581"/>
      <c r="F829" s="1581"/>
      <c r="G829" s="1581"/>
      <c r="H829" s="1581"/>
      <c r="I829" s="1581"/>
      <c r="J829" s="1581"/>
      <c r="K829" s="1581"/>
      <c r="L829" s="1580"/>
      <c r="M829" s="1580"/>
      <c r="N829" s="1580"/>
      <c r="O829" s="1580"/>
      <c r="P829" s="1580"/>
      <c r="Q829" s="1581"/>
      <c r="R829" s="1581"/>
      <c r="S829" s="1581"/>
      <c r="T829" s="1581"/>
      <c r="U829" s="1581"/>
    </row>
    <row r="830" spans="5:21" ht="14.25">
      <c r="E830" s="2585" t="s">
        <v>653</v>
      </c>
      <c r="F830" s="2586"/>
      <c r="G830" s="2586"/>
      <c r="H830" s="1581"/>
      <c r="I830" s="1582" t="s">
        <v>654</v>
      </c>
      <c r="J830" s="1581"/>
      <c r="K830" s="1581"/>
      <c r="L830" s="1580"/>
      <c r="M830" s="1580"/>
      <c r="N830" s="1580"/>
      <c r="O830" s="1580"/>
      <c r="P830" s="1580"/>
      <c r="Q830" s="1581"/>
      <c r="R830" s="1581"/>
      <c r="S830" s="1581"/>
      <c r="T830" s="1581"/>
      <c r="U830" s="1581"/>
    </row>
    <row r="831" spans="5:21" ht="14.25">
      <c r="E831" s="1581"/>
      <c r="F831" s="1581"/>
      <c r="G831" s="1581"/>
      <c r="H831" s="1581"/>
      <c r="I831" s="1581"/>
      <c r="J831" s="1581"/>
      <c r="K831" s="1581"/>
      <c r="L831" s="1580"/>
      <c r="M831" s="1580"/>
      <c r="N831" s="1580"/>
      <c r="O831" s="1580"/>
      <c r="P831" s="1580"/>
      <c r="Q831" s="1581"/>
      <c r="R831" s="1581"/>
      <c r="S831" s="1581"/>
      <c r="T831" s="1581"/>
      <c r="U831" s="1581"/>
    </row>
    <row r="832" spans="5:21" ht="14.25">
      <c r="E832" s="2585" t="s">
        <v>655</v>
      </c>
      <c r="F832" s="2586"/>
      <c r="G832" s="2586"/>
      <c r="H832" s="1581"/>
      <c r="I832" s="2587" t="s">
        <v>2289</v>
      </c>
      <c r="J832" s="2586"/>
      <c r="K832" s="2586"/>
      <c r="L832" s="2586"/>
      <c r="M832" s="2586"/>
      <c r="N832" s="1580"/>
      <c r="O832" s="1580"/>
      <c r="P832" s="1580"/>
      <c r="Q832" s="1581"/>
      <c r="R832" s="1581"/>
      <c r="S832" s="1581"/>
      <c r="T832" s="1581"/>
      <c r="U832" s="1581"/>
    </row>
    <row r="833" spans="5:21" ht="14.25">
      <c r="E833" s="1581"/>
      <c r="F833" s="1581"/>
      <c r="G833" s="1581"/>
      <c r="H833" s="1581"/>
      <c r="I833" s="1581"/>
      <c r="J833" s="1581"/>
      <c r="K833" s="1581"/>
      <c r="L833" s="1580"/>
      <c r="M833" s="1580"/>
      <c r="N833" s="1580"/>
      <c r="O833" s="1580"/>
      <c r="P833" s="1580"/>
      <c r="Q833" s="1581"/>
      <c r="R833" s="1581"/>
      <c r="S833" s="1581"/>
      <c r="T833" s="1581"/>
      <c r="U833" s="1581"/>
    </row>
    <row r="834" spans="5:21" ht="38.25">
      <c r="E834" s="1425"/>
      <c r="F834" s="1426" t="s">
        <v>657</v>
      </c>
      <c r="G834" s="2588" t="s">
        <v>587</v>
      </c>
      <c r="H834" s="2574"/>
      <c r="I834" s="2574"/>
      <c r="J834" s="2575"/>
      <c r="K834" s="1426" t="s">
        <v>658</v>
      </c>
      <c r="L834" s="2588" t="s">
        <v>659</v>
      </c>
      <c r="M834" s="2574"/>
      <c r="N834" s="2575"/>
      <c r="O834" s="1426" t="s">
        <v>660</v>
      </c>
      <c r="P834" s="1426" t="s">
        <v>661</v>
      </c>
      <c r="Q834" s="1426" t="s">
        <v>662</v>
      </c>
      <c r="R834" s="1426" t="s">
        <v>663</v>
      </c>
      <c r="S834" s="1426" t="s">
        <v>664</v>
      </c>
      <c r="T834" s="1426" t="s">
        <v>665</v>
      </c>
      <c r="U834" s="1426" t="s">
        <v>666</v>
      </c>
    </row>
    <row r="835" spans="5:21" ht="15">
      <c r="E835" s="1425"/>
      <c r="F835" s="1427">
        <v>1</v>
      </c>
      <c r="G835" s="2573" t="s">
        <v>2290</v>
      </c>
      <c r="H835" s="2574"/>
      <c r="I835" s="2574"/>
      <c r="J835" s="2575"/>
      <c r="K835" s="1427" t="s">
        <v>1093</v>
      </c>
      <c r="L835" s="2576">
        <v>125000</v>
      </c>
      <c r="M835" s="2577"/>
      <c r="N835" s="2578"/>
      <c r="O835" s="1428" t="s">
        <v>688</v>
      </c>
      <c r="P835" s="1428">
        <v>107600</v>
      </c>
      <c r="Q835" s="1427" t="s">
        <v>2291</v>
      </c>
      <c r="R835" s="1427" t="s">
        <v>2292</v>
      </c>
      <c r="S835" s="1427" t="s">
        <v>2293</v>
      </c>
      <c r="T835" s="1427" t="s">
        <v>2294</v>
      </c>
      <c r="U835" s="1427" t="s">
        <v>704</v>
      </c>
    </row>
    <row r="836" spans="5:21" ht="25.5">
      <c r="E836" s="1425"/>
      <c r="F836" s="1427">
        <v>2</v>
      </c>
      <c r="G836" s="2573" t="s">
        <v>2295</v>
      </c>
      <c r="H836" s="2574"/>
      <c r="I836" s="2574"/>
      <c r="J836" s="2575"/>
      <c r="K836" s="1427" t="s">
        <v>2136</v>
      </c>
      <c r="L836" s="2576">
        <v>101000</v>
      </c>
      <c r="M836" s="2577"/>
      <c r="N836" s="2578"/>
      <c r="O836" s="1428" t="s">
        <v>688</v>
      </c>
      <c r="P836" s="1428">
        <v>75000</v>
      </c>
      <c r="Q836" s="1427" t="s">
        <v>2296</v>
      </c>
      <c r="R836" s="1427" t="s">
        <v>2297</v>
      </c>
      <c r="S836" s="1427" t="s">
        <v>2298</v>
      </c>
      <c r="T836" s="1427" t="s">
        <v>2299</v>
      </c>
      <c r="U836" s="1427" t="s">
        <v>673</v>
      </c>
    </row>
    <row r="837" spans="5:21" ht="14.25">
      <c r="E837" s="1581"/>
      <c r="F837" s="1583"/>
      <c r="G837" s="2579" t="s">
        <v>761</v>
      </c>
      <c r="H837" s="2579"/>
      <c r="I837" s="2579"/>
      <c r="J837" s="2579"/>
      <c r="K837" s="1583"/>
      <c r="L837" s="2580">
        <f>SUM(L835:N836)</f>
        <v>226000</v>
      </c>
      <c r="M837" s="2581"/>
      <c r="N837" s="2582"/>
      <c r="O837" s="1584"/>
      <c r="P837" s="1584">
        <f>SUM(P835:P836)</f>
        <v>182600</v>
      </c>
      <c r="Q837" s="1585"/>
      <c r="R837" s="1583"/>
      <c r="S837" s="1583"/>
      <c r="T837" s="1583"/>
      <c r="U837" s="1583"/>
    </row>
    <row r="838" spans="5:21" ht="15">
      <c r="E838" s="1581"/>
      <c r="F838" s="1581"/>
      <c r="G838" s="1581"/>
      <c r="H838" s="1581"/>
      <c r="I838" s="1581"/>
      <c r="J838" s="1581"/>
      <c r="K838" s="1581"/>
      <c r="L838" s="1580"/>
      <c r="M838" s="1580"/>
      <c r="N838" s="1580"/>
      <c r="O838" s="1580"/>
      <c r="P838" s="1580"/>
      <c r="Q838" s="1581"/>
      <c r="R838" s="1586" t="s">
        <v>762</v>
      </c>
      <c r="S838" s="1581"/>
      <c r="T838" s="1581"/>
      <c r="U838" s="1581"/>
    </row>
    <row r="839" spans="5:21" ht="15">
      <c r="E839" s="1581"/>
      <c r="F839" s="1581"/>
      <c r="G839" s="1581"/>
      <c r="H839" s="1581"/>
      <c r="I839" s="1581"/>
      <c r="J839" s="1581"/>
      <c r="K839" s="1581"/>
      <c r="L839" s="1580"/>
      <c r="M839" s="1580"/>
      <c r="N839" s="1580"/>
      <c r="O839" s="1580"/>
      <c r="P839" s="1580"/>
      <c r="Q839" s="1581"/>
      <c r="R839" s="1586" t="s">
        <v>763</v>
      </c>
      <c r="S839" s="1581"/>
      <c r="T839" s="1581"/>
      <c r="U839" s="1581"/>
    </row>
  </sheetData>
  <mergeCells count="1169">
    <mergeCell ref="C10:F10"/>
    <mergeCell ref="H10:J10"/>
    <mergeCell ref="C11:F11"/>
    <mergeCell ref="H11:J11"/>
    <mergeCell ref="C12:F12"/>
    <mergeCell ref="H12:J12"/>
    <mergeCell ref="C7:F7"/>
    <mergeCell ref="H7:J7"/>
    <mergeCell ref="C8:F8"/>
    <mergeCell ref="H8:J8"/>
    <mergeCell ref="C9:F9"/>
    <mergeCell ref="H9:J9"/>
    <mergeCell ref="A1:H1"/>
    <mergeCell ref="A3:C3"/>
    <mergeCell ref="A4:C4"/>
    <mergeCell ref="E4:I4"/>
    <mergeCell ref="C6:F6"/>
    <mergeCell ref="H6:J6"/>
    <mergeCell ref="C19:F19"/>
    <mergeCell ref="H19:J19"/>
    <mergeCell ref="C20:F20"/>
    <mergeCell ref="H20:J20"/>
    <mergeCell ref="C21:F21"/>
    <mergeCell ref="H21:J21"/>
    <mergeCell ref="C16:F16"/>
    <mergeCell ref="H16:J16"/>
    <mergeCell ref="C17:F17"/>
    <mergeCell ref="H17:J17"/>
    <mergeCell ref="C18:F18"/>
    <mergeCell ref="H18:J18"/>
    <mergeCell ref="C13:F13"/>
    <mergeCell ref="H13:J13"/>
    <mergeCell ref="C14:F14"/>
    <mergeCell ref="H14:J14"/>
    <mergeCell ref="C15:F15"/>
    <mergeCell ref="H15:J15"/>
    <mergeCell ref="C32:F32"/>
    <mergeCell ref="H32:J32"/>
    <mergeCell ref="C33:F33"/>
    <mergeCell ref="H33:J33"/>
    <mergeCell ref="C34:F34"/>
    <mergeCell ref="H34:J34"/>
    <mergeCell ref="C25:F25"/>
    <mergeCell ref="H25:J25"/>
    <mergeCell ref="A28:H28"/>
    <mergeCell ref="A29:C29"/>
    <mergeCell ref="A31:C31"/>
    <mergeCell ref="E31:I31"/>
    <mergeCell ref="C22:F22"/>
    <mergeCell ref="H22:J22"/>
    <mergeCell ref="C23:F23"/>
    <mergeCell ref="H23:J23"/>
    <mergeCell ref="C24:F24"/>
    <mergeCell ref="H24:J24"/>
    <mergeCell ref="C41:F41"/>
    <mergeCell ref="H41:J41"/>
    <mergeCell ref="C42:F42"/>
    <mergeCell ref="H42:J42"/>
    <mergeCell ref="C43:F43"/>
    <mergeCell ref="H43:J43"/>
    <mergeCell ref="C38:F38"/>
    <mergeCell ref="H38:J38"/>
    <mergeCell ref="C39:F39"/>
    <mergeCell ref="H39:J39"/>
    <mergeCell ref="C40:F40"/>
    <mergeCell ref="H40:J40"/>
    <mergeCell ref="C35:F35"/>
    <mergeCell ref="H35:J35"/>
    <mergeCell ref="C36:F36"/>
    <mergeCell ref="H36:J36"/>
    <mergeCell ref="C37:F37"/>
    <mergeCell ref="H37:J37"/>
    <mergeCell ref="C50:F50"/>
    <mergeCell ref="H50:J50"/>
    <mergeCell ref="C51:F51"/>
    <mergeCell ref="H51:J51"/>
    <mergeCell ref="C52:F52"/>
    <mergeCell ref="H52:J52"/>
    <mergeCell ref="C47:F47"/>
    <mergeCell ref="H47:J47"/>
    <mergeCell ref="C48:F48"/>
    <mergeCell ref="H48:J48"/>
    <mergeCell ref="C49:F49"/>
    <mergeCell ref="H49:J49"/>
    <mergeCell ref="C44:F44"/>
    <mergeCell ref="H44:J44"/>
    <mergeCell ref="C45:F45"/>
    <mergeCell ref="H45:J45"/>
    <mergeCell ref="C46:F46"/>
    <mergeCell ref="H46:J46"/>
    <mergeCell ref="C59:F59"/>
    <mergeCell ref="H59:J59"/>
    <mergeCell ref="C60:F60"/>
    <mergeCell ref="H60:J60"/>
    <mergeCell ref="B61:B64"/>
    <mergeCell ref="C61:F64"/>
    <mergeCell ref="G61:G64"/>
    <mergeCell ref="H61:J64"/>
    <mergeCell ref="C56:F56"/>
    <mergeCell ref="H56:J56"/>
    <mergeCell ref="C57:F57"/>
    <mergeCell ref="H57:J57"/>
    <mergeCell ref="C58:F58"/>
    <mergeCell ref="H58:J58"/>
    <mergeCell ref="C53:F53"/>
    <mergeCell ref="H53:J53"/>
    <mergeCell ref="C54:F54"/>
    <mergeCell ref="H54:J54"/>
    <mergeCell ref="C55:F55"/>
    <mergeCell ref="H55:J55"/>
    <mergeCell ref="C77:F77"/>
    <mergeCell ref="H77:J77"/>
    <mergeCell ref="C78:F78"/>
    <mergeCell ref="H78:J78"/>
    <mergeCell ref="C79:F79"/>
    <mergeCell ref="H79:J79"/>
    <mergeCell ref="A71:C71"/>
    <mergeCell ref="A73:C73"/>
    <mergeCell ref="E73:I73"/>
    <mergeCell ref="C75:F75"/>
    <mergeCell ref="H75:J75"/>
    <mergeCell ref="C76:F76"/>
    <mergeCell ref="H76:J76"/>
    <mergeCell ref="K61:K64"/>
    <mergeCell ref="C65:F65"/>
    <mergeCell ref="H65:J65"/>
    <mergeCell ref="C66:F66"/>
    <mergeCell ref="H66:J66"/>
    <mergeCell ref="A69:H69"/>
    <mergeCell ref="C86:F86"/>
    <mergeCell ref="H86:J86"/>
    <mergeCell ref="C87:F87"/>
    <mergeCell ref="H87:J87"/>
    <mergeCell ref="C88:F88"/>
    <mergeCell ref="H88:J88"/>
    <mergeCell ref="C83:F83"/>
    <mergeCell ref="H83:J83"/>
    <mergeCell ref="C84:F84"/>
    <mergeCell ref="H84:J84"/>
    <mergeCell ref="C85:F85"/>
    <mergeCell ref="H85:J85"/>
    <mergeCell ref="C80:F80"/>
    <mergeCell ref="H80:J80"/>
    <mergeCell ref="C81:F81"/>
    <mergeCell ref="H81:J81"/>
    <mergeCell ref="C82:F82"/>
    <mergeCell ref="H82:J82"/>
    <mergeCell ref="C95:F95"/>
    <mergeCell ref="H95:J95"/>
    <mergeCell ref="C96:F96"/>
    <mergeCell ref="H96:J96"/>
    <mergeCell ref="C97:F97"/>
    <mergeCell ref="H97:J97"/>
    <mergeCell ref="C92:F92"/>
    <mergeCell ref="H92:J92"/>
    <mergeCell ref="C93:F93"/>
    <mergeCell ref="H93:J93"/>
    <mergeCell ref="C94:F94"/>
    <mergeCell ref="H94:J94"/>
    <mergeCell ref="C89:F89"/>
    <mergeCell ref="H89:J89"/>
    <mergeCell ref="C90:F90"/>
    <mergeCell ref="H90:J90"/>
    <mergeCell ref="C91:F91"/>
    <mergeCell ref="H91:J91"/>
    <mergeCell ref="A109:C109"/>
    <mergeCell ref="E109:I109"/>
    <mergeCell ref="C111:F111"/>
    <mergeCell ref="H111:J111"/>
    <mergeCell ref="C112:F112"/>
    <mergeCell ref="H112:J112"/>
    <mergeCell ref="C101:F101"/>
    <mergeCell ref="H101:J101"/>
    <mergeCell ref="C102:F102"/>
    <mergeCell ref="H102:J102"/>
    <mergeCell ref="A105:H105"/>
    <mergeCell ref="A107:C107"/>
    <mergeCell ref="C98:F98"/>
    <mergeCell ref="H98:J98"/>
    <mergeCell ref="C99:F99"/>
    <mergeCell ref="H99:J99"/>
    <mergeCell ref="C100:F100"/>
    <mergeCell ref="H100:J100"/>
    <mergeCell ref="C125:F125"/>
    <mergeCell ref="H125:J125"/>
    <mergeCell ref="C126:F126"/>
    <mergeCell ref="H126:J126"/>
    <mergeCell ref="C127:F127"/>
    <mergeCell ref="H127:J127"/>
    <mergeCell ref="C116:F116"/>
    <mergeCell ref="H116:J116"/>
    <mergeCell ref="A119:H119"/>
    <mergeCell ref="A121:C121"/>
    <mergeCell ref="A123:C123"/>
    <mergeCell ref="E123:I123"/>
    <mergeCell ref="C113:F113"/>
    <mergeCell ref="H113:J113"/>
    <mergeCell ref="C114:F114"/>
    <mergeCell ref="H114:J114"/>
    <mergeCell ref="C115:F115"/>
    <mergeCell ref="H115:J115"/>
    <mergeCell ref="C134:F134"/>
    <mergeCell ref="H134:J134"/>
    <mergeCell ref="C135:F135"/>
    <mergeCell ref="H135:J135"/>
    <mergeCell ref="A138:H138"/>
    <mergeCell ref="A140:C140"/>
    <mergeCell ref="C131:F131"/>
    <mergeCell ref="H131:J131"/>
    <mergeCell ref="C132:F132"/>
    <mergeCell ref="H132:J132"/>
    <mergeCell ref="C133:F133"/>
    <mergeCell ref="H133:J133"/>
    <mergeCell ref="C128:F128"/>
    <mergeCell ref="H128:J128"/>
    <mergeCell ref="C129:F129"/>
    <mergeCell ref="H129:J129"/>
    <mergeCell ref="C130:F130"/>
    <mergeCell ref="H130:J130"/>
    <mergeCell ref="C149:F149"/>
    <mergeCell ref="H149:J149"/>
    <mergeCell ref="C150:F150"/>
    <mergeCell ref="H150:J150"/>
    <mergeCell ref="C151:F151"/>
    <mergeCell ref="H151:J151"/>
    <mergeCell ref="C146:F146"/>
    <mergeCell ref="H146:J146"/>
    <mergeCell ref="C147:F147"/>
    <mergeCell ref="H147:J147"/>
    <mergeCell ref="C148:F148"/>
    <mergeCell ref="H148:J148"/>
    <mergeCell ref="A142:C142"/>
    <mergeCell ref="E142:I142"/>
    <mergeCell ref="C144:F144"/>
    <mergeCell ref="H144:J144"/>
    <mergeCell ref="C145:F145"/>
    <mergeCell ref="H145:J145"/>
    <mergeCell ref="C159:F159"/>
    <mergeCell ref="H159:J159"/>
    <mergeCell ref="C160:F160"/>
    <mergeCell ref="H160:J160"/>
    <mergeCell ref="C161:F161"/>
    <mergeCell ref="H161:J161"/>
    <mergeCell ref="B155:B157"/>
    <mergeCell ref="C155:F157"/>
    <mergeCell ref="G155:G157"/>
    <mergeCell ref="H155:J157"/>
    <mergeCell ref="K155:K157"/>
    <mergeCell ref="C158:F158"/>
    <mergeCell ref="H158:J158"/>
    <mergeCell ref="C152:F152"/>
    <mergeCell ref="H152:J152"/>
    <mergeCell ref="C153:F153"/>
    <mergeCell ref="H153:J153"/>
    <mergeCell ref="C154:F154"/>
    <mergeCell ref="H154:J154"/>
    <mergeCell ref="A170:H170"/>
    <mergeCell ref="A172:C172"/>
    <mergeCell ref="A174:C174"/>
    <mergeCell ref="E174:I174"/>
    <mergeCell ref="C176:F176"/>
    <mergeCell ref="H176:J176"/>
    <mergeCell ref="C165:F165"/>
    <mergeCell ref="H165:J165"/>
    <mergeCell ref="C166:F166"/>
    <mergeCell ref="H166:J166"/>
    <mergeCell ref="C167:F167"/>
    <mergeCell ref="H167:J167"/>
    <mergeCell ref="C162:F162"/>
    <mergeCell ref="H162:J162"/>
    <mergeCell ref="C163:F163"/>
    <mergeCell ref="H163:J163"/>
    <mergeCell ref="C164:F164"/>
    <mergeCell ref="H164:J164"/>
    <mergeCell ref="C183:F183"/>
    <mergeCell ref="H183:J183"/>
    <mergeCell ref="C184:F184"/>
    <mergeCell ref="H184:J184"/>
    <mergeCell ref="C185:F185"/>
    <mergeCell ref="H185:J185"/>
    <mergeCell ref="C180:F180"/>
    <mergeCell ref="H180:J180"/>
    <mergeCell ref="C181:F181"/>
    <mergeCell ref="H181:J181"/>
    <mergeCell ref="C182:F182"/>
    <mergeCell ref="H182:J182"/>
    <mergeCell ref="C177:F177"/>
    <mergeCell ref="H177:J177"/>
    <mergeCell ref="C178:F178"/>
    <mergeCell ref="H178:J178"/>
    <mergeCell ref="C179:F179"/>
    <mergeCell ref="H179:J179"/>
    <mergeCell ref="C198:F198"/>
    <mergeCell ref="H198:J198"/>
    <mergeCell ref="C199:F199"/>
    <mergeCell ref="H199:J199"/>
    <mergeCell ref="C200:F200"/>
    <mergeCell ref="H200:J200"/>
    <mergeCell ref="C195:F195"/>
    <mergeCell ref="H195:J195"/>
    <mergeCell ref="C196:F196"/>
    <mergeCell ref="H196:J196"/>
    <mergeCell ref="C197:F197"/>
    <mergeCell ref="H197:J197"/>
    <mergeCell ref="A188:H188"/>
    <mergeCell ref="A190:C190"/>
    <mergeCell ref="A192:C192"/>
    <mergeCell ref="E192:I192"/>
    <mergeCell ref="C194:F194"/>
    <mergeCell ref="H194:J194"/>
    <mergeCell ref="C207:F207"/>
    <mergeCell ref="H207:J207"/>
    <mergeCell ref="C208:F208"/>
    <mergeCell ref="H208:J208"/>
    <mergeCell ref="C209:F209"/>
    <mergeCell ref="H209:J209"/>
    <mergeCell ref="C204:F204"/>
    <mergeCell ref="H204:J204"/>
    <mergeCell ref="C205:F205"/>
    <mergeCell ref="H205:J205"/>
    <mergeCell ref="C206:F206"/>
    <mergeCell ref="H206:J206"/>
    <mergeCell ref="C201:F201"/>
    <mergeCell ref="H201:J201"/>
    <mergeCell ref="C202:F202"/>
    <mergeCell ref="H202:J202"/>
    <mergeCell ref="C203:F203"/>
    <mergeCell ref="H203:J203"/>
    <mergeCell ref="A220:C220"/>
    <mergeCell ref="E220:I220"/>
    <mergeCell ref="C222:F222"/>
    <mergeCell ref="H222:J222"/>
    <mergeCell ref="C223:F223"/>
    <mergeCell ref="H223:J223"/>
    <mergeCell ref="C213:F213"/>
    <mergeCell ref="H213:J213"/>
    <mergeCell ref="C214:F214"/>
    <mergeCell ref="H214:J214"/>
    <mergeCell ref="A216:H216"/>
    <mergeCell ref="A218:C218"/>
    <mergeCell ref="C210:F210"/>
    <mergeCell ref="H210:J210"/>
    <mergeCell ref="C211:F211"/>
    <mergeCell ref="H211:J211"/>
    <mergeCell ref="C212:F212"/>
    <mergeCell ref="H212:J212"/>
    <mergeCell ref="C230:F230"/>
    <mergeCell ref="H230:J230"/>
    <mergeCell ref="C231:F231"/>
    <mergeCell ref="H231:J231"/>
    <mergeCell ref="C232:F232"/>
    <mergeCell ref="H232:J232"/>
    <mergeCell ref="C227:F227"/>
    <mergeCell ref="H227:J227"/>
    <mergeCell ref="C228:F228"/>
    <mergeCell ref="H228:J228"/>
    <mergeCell ref="C229:F229"/>
    <mergeCell ref="H229:J229"/>
    <mergeCell ref="C224:F224"/>
    <mergeCell ref="H224:J224"/>
    <mergeCell ref="C225:F225"/>
    <mergeCell ref="H225:J225"/>
    <mergeCell ref="C226:F226"/>
    <mergeCell ref="H226:J226"/>
    <mergeCell ref="C245:F245"/>
    <mergeCell ref="H245:J245"/>
    <mergeCell ref="C246:F246"/>
    <mergeCell ref="H246:J246"/>
    <mergeCell ref="C247:F247"/>
    <mergeCell ref="H247:J247"/>
    <mergeCell ref="C236:F236"/>
    <mergeCell ref="H236:J236"/>
    <mergeCell ref="A239:H239"/>
    <mergeCell ref="A241:C241"/>
    <mergeCell ref="A243:C243"/>
    <mergeCell ref="E243:I243"/>
    <mergeCell ref="C233:F233"/>
    <mergeCell ref="H233:J233"/>
    <mergeCell ref="C234:F234"/>
    <mergeCell ref="H234:J234"/>
    <mergeCell ref="C235:F235"/>
    <mergeCell ref="H235:J235"/>
    <mergeCell ref="C260:F260"/>
    <mergeCell ref="H260:J260"/>
    <mergeCell ref="C261:F261"/>
    <mergeCell ref="H261:J261"/>
    <mergeCell ref="A264:H264"/>
    <mergeCell ref="A266:C266"/>
    <mergeCell ref="C257:F257"/>
    <mergeCell ref="H257:J257"/>
    <mergeCell ref="C258:F258"/>
    <mergeCell ref="H258:J258"/>
    <mergeCell ref="C259:F259"/>
    <mergeCell ref="H259:J259"/>
    <mergeCell ref="A250:H250"/>
    <mergeCell ref="A252:C252"/>
    <mergeCell ref="A254:C254"/>
    <mergeCell ref="E254:I254"/>
    <mergeCell ref="C256:F256"/>
    <mergeCell ref="H256:J256"/>
    <mergeCell ref="C275:F275"/>
    <mergeCell ref="H275:J275"/>
    <mergeCell ref="C276:F276"/>
    <mergeCell ref="H276:J276"/>
    <mergeCell ref="C277:F277"/>
    <mergeCell ref="H277:J277"/>
    <mergeCell ref="C272:F272"/>
    <mergeCell ref="H272:J272"/>
    <mergeCell ref="C273:F273"/>
    <mergeCell ref="H273:J273"/>
    <mergeCell ref="C274:F274"/>
    <mergeCell ref="H274:J274"/>
    <mergeCell ref="A268:C268"/>
    <mergeCell ref="E268:I268"/>
    <mergeCell ref="C270:F270"/>
    <mergeCell ref="H270:J270"/>
    <mergeCell ref="C271:F271"/>
    <mergeCell ref="H271:J271"/>
    <mergeCell ref="A289:C289"/>
    <mergeCell ref="E289:I289"/>
    <mergeCell ref="C291:F291"/>
    <mergeCell ref="H291:J291"/>
    <mergeCell ref="C292:F292"/>
    <mergeCell ref="H292:J292"/>
    <mergeCell ref="C281:F281"/>
    <mergeCell ref="H281:J281"/>
    <mergeCell ref="C282:F282"/>
    <mergeCell ref="H282:J282"/>
    <mergeCell ref="A285:H285"/>
    <mergeCell ref="A287:C287"/>
    <mergeCell ref="C278:F278"/>
    <mergeCell ref="H278:J278"/>
    <mergeCell ref="C279:F279"/>
    <mergeCell ref="H279:J279"/>
    <mergeCell ref="C280:F280"/>
    <mergeCell ref="H280:J280"/>
    <mergeCell ref="B300:I300"/>
    <mergeCell ref="B302:D302"/>
    <mergeCell ref="B304:D304"/>
    <mergeCell ref="F304:J304"/>
    <mergeCell ref="D306:G306"/>
    <mergeCell ref="I306:K306"/>
    <mergeCell ref="C296:F296"/>
    <mergeCell ref="H296:J296"/>
    <mergeCell ref="C297:F297"/>
    <mergeCell ref="H297:J297"/>
    <mergeCell ref="C298:F298"/>
    <mergeCell ref="H298:J298"/>
    <mergeCell ref="C293:F293"/>
    <mergeCell ref="H293:J293"/>
    <mergeCell ref="C294:F294"/>
    <mergeCell ref="H294:J294"/>
    <mergeCell ref="C295:F295"/>
    <mergeCell ref="H295:J295"/>
    <mergeCell ref="D313:G313"/>
    <mergeCell ref="I313:K313"/>
    <mergeCell ref="D314:G314"/>
    <mergeCell ref="I314:K314"/>
    <mergeCell ref="D315:G315"/>
    <mergeCell ref="I315:K315"/>
    <mergeCell ref="C310:C311"/>
    <mergeCell ref="D310:G311"/>
    <mergeCell ref="H310:H311"/>
    <mergeCell ref="I310:K311"/>
    <mergeCell ref="L310:L311"/>
    <mergeCell ref="D312:G312"/>
    <mergeCell ref="I312:K312"/>
    <mergeCell ref="D307:G307"/>
    <mergeCell ref="I307:K307"/>
    <mergeCell ref="D308:G308"/>
    <mergeCell ref="I308:K308"/>
    <mergeCell ref="D309:G309"/>
    <mergeCell ref="I309:K309"/>
    <mergeCell ref="D322:G322"/>
    <mergeCell ref="I322:K322"/>
    <mergeCell ref="C323:C324"/>
    <mergeCell ref="D323:G324"/>
    <mergeCell ref="H323:H324"/>
    <mergeCell ref="I323:K324"/>
    <mergeCell ref="D319:G319"/>
    <mergeCell ref="I319:K319"/>
    <mergeCell ref="D320:G320"/>
    <mergeCell ref="I320:K320"/>
    <mergeCell ref="D321:G321"/>
    <mergeCell ref="I321:K321"/>
    <mergeCell ref="D316:G316"/>
    <mergeCell ref="I316:K316"/>
    <mergeCell ref="D317:G317"/>
    <mergeCell ref="I317:K317"/>
    <mergeCell ref="D318:G318"/>
    <mergeCell ref="I318:K318"/>
    <mergeCell ref="D331:G331"/>
    <mergeCell ref="I331:K331"/>
    <mergeCell ref="D332:G332"/>
    <mergeCell ref="I332:K332"/>
    <mergeCell ref="D333:G333"/>
    <mergeCell ref="I333:K333"/>
    <mergeCell ref="D328:G328"/>
    <mergeCell ref="I328:K328"/>
    <mergeCell ref="D329:G329"/>
    <mergeCell ref="I329:K329"/>
    <mergeCell ref="D330:G330"/>
    <mergeCell ref="I330:K330"/>
    <mergeCell ref="L323:L324"/>
    <mergeCell ref="D325:G325"/>
    <mergeCell ref="I325:K325"/>
    <mergeCell ref="C326:C327"/>
    <mergeCell ref="D326:G327"/>
    <mergeCell ref="H326:H327"/>
    <mergeCell ref="I326:K327"/>
    <mergeCell ref="L326:L327"/>
    <mergeCell ref="B345:D345"/>
    <mergeCell ref="F345:J345"/>
    <mergeCell ref="D347:G347"/>
    <mergeCell ref="I347:K347"/>
    <mergeCell ref="D348:G348"/>
    <mergeCell ref="I348:K348"/>
    <mergeCell ref="D337:G337"/>
    <mergeCell ref="I337:K337"/>
    <mergeCell ref="D338:G338"/>
    <mergeCell ref="I338:K338"/>
    <mergeCell ref="B341:I341"/>
    <mergeCell ref="B343:D343"/>
    <mergeCell ref="D334:G334"/>
    <mergeCell ref="I334:K334"/>
    <mergeCell ref="D335:G335"/>
    <mergeCell ref="I335:K335"/>
    <mergeCell ref="D336:G336"/>
    <mergeCell ref="I336:K336"/>
    <mergeCell ref="D355:G355"/>
    <mergeCell ref="I355:K355"/>
    <mergeCell ref="D356:G356"/>
    <mergeCell ref="I356:K356"/>
    <mergeCell ref="D357:G357"/>
    <mergeCell ref="I357:K357"/>
    <mergeCell ref="D352:G352"/>
    <mergeCell ref="I352:K352"/>
    <mergeCell ref="D353:G353"/>
    <mergeCell ref="I353:K353"/>
    <mergeCell ref="D354:G354"/>
    <mergeCell ref="I354:K354"/>
    <mergeCell ref="D349:G349"/>
    <mergeCell ref="I349:K349"/>
    <mergeCell ref="D350:G350"/>
    <mergeCell ref="I350:K350"/>
    <mergeCell ref="D351:G351"/>
    <mergeCell ref="I351:K351"/>
    <mergeCell ref="D364:G364"/>
    <mergeCell ref="I364:K364"/>
    <mergeCell ref="D365:G365"/>
    <mergeCell ref="I365:K365"/>
    <mergeCell ref="D366:G366"/>
    <mergeCell ref="I366:J366"/>
    <mergeCell ref="D361:G361"/>
    <mergeCell ref="I361:K361"/>
    <mergeCell ref="D362:G362"/>
    <mergeCell ref="I362:K362"/>
    <mergeCell ref="D363:G363"/>
    <mergeCell ref="I363:K363"/>
    <mergeCell ref="D358:G358"/>
    <mergeCell ref="I358:K358"/>
    <mergeCell ref="D359:G359"/>
    <mergeCell ref="I359:K359"/>
    <mergeCell ref="D360:G360"/>
    <mergeCell ref="I360:K360"/>
    <mergeCell ref="D379:G379"/>
    <mergeCell ref="I379:K379"/>
    <mergeCell ref="D380:G380"/>
    <mergeCell ref="I380:K380"/>
    <mergeCell ref="D381:G381"/>
    <mergeCell ref="I381:K381"/>
    <mergeCell ref="B375:D375"/>
    <mergeCell ref="F375:J375"/>
    <mergeCell ref="D377:G377"/>
    <mergeCell ref="I377:K377"/>
    <mergeCell ref="D378:G378"/>
    <mergeCell ref="I378:K378"/>
    <mergeCell ref="D367:G367"/>
    <mergeCell ref="I367:J367"/>
    <mergeCell ref="D368:G368"/>
    <mergeCell ref="I368:K368"/>
    <mergeCell ref="B371:I371"/>
    <mergeCell ref="B373:D373"/>
    <mergeCell ref="D390:G390"/>
    <mergeCell ref="I390:K390"/>
    <mergeCell ref="D391:G391"/>
    <mergeCell ref="I391:K391"/>
    <mergeCell ref="D392:G392"/>
    <mergeCell ref="I392:K392"/>
    <mergeCell ref="L385:L386"/>
    <mergeCell ref="D387:G387"/>
    <mergeCell ref="I387:K387"/>
    <mergeCell ref="C388:C389"/>
    <mergeCell ref="D388:G389"/>
    <mergeCell ref="I388:K388"/>
    <mergeCell ref="I389:K389"/>
    <mergeCell ref="D382:G382"/>
    <mergeCell ref="I382:K382"/>
    <mergeCell ref="D383:G383"/>
    <mergeCell ref="I383:K383"/>
    <mergeCell ref="C384:C386"/>
    <mergeCell ref="D384:G386"/>
    <mergeCell ref="I384:K384"/>
    <mergeCell ref="I385:K386"/>
    <mergeCell ref="B401:I401"/>
    <mergeCell ref="B403:D403"/>
    <mergeCell ref="B405:D405"/>
    <mergeCell ref="F405:J405"/>
    <mergeCell ref="D407:G407"/>
    <mergeCell ref="I407:K407"/>
    <mergeCell ref="D396:G396"/>
    <mergeCell ref="I396:K396"/>
    <mergeCell ref="D397:G397"/>
    <mergeCell ref="I397:K397"/>
    <mergeCell ref="D398:G398"/>
    <mergeCell ref="I398:K398"/>
    <mergeCell ref="D393:G393"/>
    <mergeCell ref="I393:K393"/>
    <mergeCell ref="D394:G394"/>
    <mergeCell ref="I394:K394"/>
    <mergeCell ref="D395:G395"/>
    <mergeCell ref="I395:K395"/>
    <mergeCell ref="B416:I416"/>
    <mergeCell ref="B418:D418"/>
    <mergeCell ref="B420:D420"/>
    <mergeCell ref="F420:J420"/>
    <mergeCell ref="D422:G422"/>
    <mergeCell ref="I422:K422"/>
    <mergeCell ref="D411:G411"/>
    <mergeCell ref="I411:K411"/>
    <mergeCell ref="D412:G412"/>
    <mergeCell ref="I412:K412"/>
    <mergeCell ref="D413:G413"/>
    <mergeCell ref="I413:K413"/>
    <mergeCell ref="D408:G408"/>
    <mergeCell ref="I408:K408"/>
    <mergeCell ref="D409:G409"/>
    <mergeCell ref="I409:K409"/>
    <mergeCell ref="D410:G410"/>
    <mergeCell ref="I410:K410"/>
    <mergeCell ref="L427:L428"/>
    <mergeCell ref="D429:G429"/>
    <mergeCell ref="I429:K429"/>
    <mergeCell ref="C430:C431"/>
    <mergeCell ref="D430:G431"/>
    <mergeCell ref="H430:H431"/>
    <mergeCell ref="I430:K430"/>
    <mergeCell ref="I431:K431"/>
    <mergeCell ref="D426:G426"/>
    <mergeCell ref="I426:K426"/>
    <mergeCell ref="C427:C428"/>
    <mergeCell ref="D427:G428"/>
    <mergeCell ref="H427:H428"/>
    <mergeCell ref="I427:K428"/>
    <mergeCell ref="C423:C425"/>
    <mergeCell ref="D423:G425"/>
    <mergeCell ref="I423:K423"/>
    <mergeCell ref="H424:H425"/>
    <mergeCell ref="I424:K425"/>
    <mergeCell ref="L424:L425"/>
    <mergeCell ref="D438:G438"/>
    <mergeCell ref="I438:K438"/>
    <mergeCell ref="D439:G439"/>
    <mergeCell ref="I439:K439"/>
    <mergeCell ref="B442:I442"/>
    <mergeCell ref="B444:D444"/>
    <mergeCell ref="C435:C436"/>
    <mergeCell ref="D435:G436"/>
    <mergeCell ref="H435:H436"/>
    <mergeCell ref="I435:K436"/>
    <mergeCell ref="L435:L436"/>
    <mergeCell ref="D437:G437"/>
    <mergeCell ref="I437:K437"/>
    <mergeCell ref="D432:G432"/>
    <mergeCell ref="I432:K432"/>
    <mergeCell ref="D433:G433"/>
    <mergeCell ref="I433:K433"/>
    <mergeCell ref="D434:G434"/>
    <mergeCell ref="I434:K434"/>
    <mergeCell ref="D453:G453"/>
    <mergeCell ref="I453:K453"/>
    <mergeCell ref="D454:G454"/>
    <mergeCell ref="I454:K454"/>
    <mergeCell ref="D455:G455"/>
    <mergeCell ref="I455:K455"/>
    <mergeCell ref="D450:G450"/>
    <mergeCell ref="I450:K450"/>
    <mergeCell ref="D451:G451"/>
    <mergeCell ref="I451:K451"/>
    <mergeCell ref="D452:G452"/>
    <mergeCell ref="I452:K452"/>
    <mergeCell ref="B446:D446"/>
    <mergeCell ref="F446:J446"/>
    <mergeCell ref="D448:G448"/>
    <mergeCell ref="I448:K448"/>
    <mergeCell ref="D449:G449"/>
    <mergeCell ref="I449:K449"/>
    <mergeCell ref="D468:G468"/>
    <mergeCell ref="I468:K468"/>
    <mergeCell ref="D469:G469"/>
    <mergeCell ref="I469:K469"/>
    <mergeCell ref="D470:G470"/>
    <mergeCell ref="I470:K470"/>
    <mergeCell ref="D459:G459"/>
    <mergeCell ref="I459:K459"/>
    <mergeCell ref="B462:I462"/>
    <mergeCell ref="B464:D464"/>
    <mergeCell ref="B466:D466"/>
    <mergeCell ref="F466:J466"/>
    <mergeCell ref="D456:G456"/>
    <mergeCell ref="I456:K456"/>
    <mergeCell ref="D457:G457"/>
    <mergeCell ref="I457:K457"/>
    <mergeCell ref="D458:G458"/>
    <mergeCell ref="I458:K458"/>
    <mergeCell ref="D477:G477"/>
    <mergeCell ref="I477:K477"/>
    <mergeCell ref="D478:G478"/>
    <mergeCell ref="I478:K478"/>
    <mergeCell ref="D479:G479"/>
    <mergeCell ref="I479:K479"/>
    <mergeCell ref="D474:G474"/>
    <mergeCell ref="I474:K474"/>
    <mergeCell ref="D475:G475"/>
    <mergeCell ref="I475:K475"/>
    <mergeCell ref="D476:G476"/>
    <mergeCell ref="I476:K476"/>
    <mergeCell ref="D471:G471"/>
    <mergeCell ref="I471:K471"/>
    <mergeCell ref="D472:G472"/>
    <mergeCell ref="I472:K472"/>
    <mergeCell ref="D473:G473"/>
    <mergeCell ref="I473:K473"/>
    <mergeCell ref="D486:G486"/>
    <mergeCell ref="I486:K486"/>
    <mergeCell ref="B489:I489"/>
    <mergeCell ref="B491:D491"/>
    <mergeCell ref="B493:D493"/>
    <mergeCell ref="F493:J493"/>
    <mergeCell ref="D483:G483"/>
    <mergeCell ref="I483:K483"/>
    <mergeCell ref="D484:G484"/>
    <mergeCell ref="I484:K484"/>
    <mergeCell ref="D485:G485"/>
    <mergeCell ref="I485:K485"/>
    <mergeCell ref="D480:G480"/>
    <mergeCell ref="I480:K480"/>
    <mergeCell ref="D481:G481"/>
    <mergeCell ref="I481:K481"/>
    <mergeCell ref="D482:G482"/>
    <mergeCell ref="I482:K482"/>
    <mergeCell ref="D501:G501"/>
    <mergeCell ref="I501:K501"/>
    <mergeCell ref="D502:G502"/>
    <mergeCell ref="I502:K502"/>
    <mergeCell ref="D503:G503"/>
    <mergeCell ref="I503:K503"/>
    <mergeCell ref="D498:G498"/>
    <mergeCell ref="I498:K498"/>
    <mergeCell ref="D499:G499"/>
    <mergeCell ref="I499:K499"/>
    <mergeCell ref="D500:G500"/>
    <mergeCell ref="I500:K500"/>
    <mergeCell ref="D495:G495"/>
    <mergeCell ref="I495:K495"/>
    <mergeCell ref="D496:G496"/>
    <mergeCell ref="I496:K496"/>
    <mergeCell ref="D497:G497"/>
    <mergeCell ref="I497:K497"/>
    <mergeCell ref="E516:H516"/>
    <mergeCell ref="J516:L516"/>
    <mergeCell ref="E517:H517"/>
    <mergeCell ref="J517:L517"/>
    <mergeCell ref="E518:H518"/>
    <mergeCell ref="J518:L518"/>
    <mergeCell ref="C509:J509"/>
    <mergeCell ref="C511:E511"/>
    <mergeCell ref="C513:E513"/>
    <mergeCell ref="G513:K513"/>
    <mergeCell ref="E515:H515"/>
    <mergeCell ref="J515:L515"/>
    <mergeCell ref="D504:G504"/>
    <mergeCell ref="I504:K504"/>
    <mergeCell ref="D505:G505"/>
    <mergeCell ref="I505:K505"/>
    <mergeCell ref="D506:G506"/>
    <mergeCell ref="I506:K506"/>
    <mergeCell ref="E525:H525"/>
    <mergeCell ref="J525:L525"/>
    <mergeCell ref="E526:H526"/>
    <mergeCell ref="J526:L526"/>
    <mergeCell ref="E527:H527"/>
    <mergeCell ref="J527:L527"/>
    <mergeCell ref="E522:H522"/>
    <mergeCell ref="J522:L522"/>
    <mergeCell ref="E523:H523"/>
    <mergeCell ref="J523:L523"/>
    <mergeCell ref="E524:H524"/>
    <mergeCell ref="J524:L524"/>
    <mergeCell ref="E519:H519"/>
    <mergeCell ref="J519:L519"/>
    <mergeCell ref="E520:H520"/>
    <mergeCell ref="J520:L520"/>
    <mergeCell ref="E521:H521"/>
    <mergeCell ref="J521:L521"/>
    <mergeCell ref="E541:H541"/>
    <mergeCell ref="J541:L541"/>
    <mergeCell ref="E542:H542"/>
    <mergeCell ref="J542:L542"/>
    <mergeCell ref="E543:H543"/>
    <mergeCell ref="J543:L543"/>
    <mergeCell ref="E538:H538"/>
    <mergeCell ref="J538:L538"/>
    <mergeCell ref="E539:H539"/>
    <mergeCell ref="J539:L539"/>
    <mergeCell ref="E540:H540"/>
    <mergeCell ref="J540:L540"/>
    <mergeCell ref="E528:H528"/>
    <mergeCell ref="J528:L528"/>
    <mergeCell ref="C532:J532"/>
    <mergeCell ref="C534:E534"/>
    <mergeCell ref="C536:E536"/>
    <mergeCell ref="G536:K536"/>
    <mergeCell ref="E550:H550"/>
    <mergeCell ref="J550:L550"/>
    <mergeCell ref="E551:H551"/>
    <mergeCell ref="J551:L551"/>
    <mergeCell ref="E552:H552"/>
    <mergeCell ref="J552:L552"/>
    <mergeCell ref="E547:H547"/>
    <mergeCell ref="J547:L547"/>
    <mergeCell ref="E548:H548"/>
    <mergeCell ref="J548:L548"/>
    <mergeCell ref="E549:H549"/>
    <mergeCell ref="J549:L549"/>
    <mergeCell ref="E544:H544"/>
    <mergeCell ref="J544:L544"/>
    <mergeCell ref="E545:H545"/>
    <mergeCell ref="J545:L545"/>
    <mergeCell ref="E546:H546"/>
    <mergeCell ref="J546:L546"/>
    <mergeCell ref="E567:H567"/>
    <mergeCell ref="J567:L567"/>
    <mergeCell ref="E568:H568"/>
    <mergeCell ref="J568:L568"/>
    <mergeCell ref="C572:J572"/>
    <mergeCell ref="C574:E574"/>
    <mergeCell ref="E556:H556"/>
    <mergeCell ref="E557:H557"/>
    <mergeCell ref="J557:L557"/>
    <mergeCell ref="C561:J561"/>
    <mergeCell ref="C563:E563"/>
    <mergeCell ref="C565:E565"/>
    <mergeCell ref="G565:K565"/>
    <mergeCell ref="E553:H553"/>
    <mergeCell ref="J553:L553"/>
    <mergeCell ref="E554:H554"/>
    <mergeCell ref="J554:L554"/>
    <mergeCell ref="E555:H555"/>
    <mergeCell ref="J555:L555"/>
    <mergeCell ref="E583:H583"/>
    <mergeCell ref="J583:L583"/>
    <mergeCell ref="E584:H584"/>
    <mergeCell ref="J584:L584"/>
    <mergeCell ref="E585:H585"/>
    <mergeCell ref="J585:L585"/>
    <mergeCell ref="E580:H580"/>
    <mergeCell ref="J580:L580"/>
    <mergeCell ref="E581:H581"/>
    <mergeCell ref="J581:L581"/>
    <mergeCell ref="E582:H582"/>
    <mergeCell ref="J582:L582"/>
    <mergeCell ref="C576:E576"/>
    <mergeCell ref="G576:K576"/>
    <mergeCell ref="E578:H578"/>
    <mergeCell ref="J578:L578"/>
    <mergeCell ref="E579:H579"/>
    <mergeCell ref="J579:L579"/>
    <mergeCell ref="E599:H599"/>
    <mergeCell ref="J599:L599"/>
    <mergeCell ref="E600:H600"/>
    <mergeCell ref="J600:L600"/>
    <mergeCell ref="E601:H601"/>
    <mergeCell ref="J601:L601"/>
    <mergeCell ref="E589:H589"/>
    <mergeCell ref="J589:L589"/>
    <mergeCell ref="C593:J593"/>
    <mergeCell ref="C595:E595"/>
    <mergeCell ref="C597:E597"/>
    <mergeCell ref="G597:K597"/>
    <mergeCell ref="E586:H586"/>
    <mergeCell ref="J586:L586"/>
    <mergeCell ref="E587:H587"/>
    <mergeCell ref="J587:L587"/>
    <mergeCell ref="E588:H588"/>
    <mergeCell ref="J588:L588"/>
    <mergeCell ref="E608:H608"/>
    <mergeCell ref="J608:L608"/>
    <mergeCell ref="E609:H609"/>
    <mergeCell ref="J609:L609"/>
    <mergeCell ref="E610:H610"/>
    <mergeCell ref="J610:L610"/>
    <mergeCell ref="E605:H605"/>
    <mergeCell ref="J605:L605"/>
    <mergeCell ref="E606:H606"/>
    <mergeCell ref="J606:L606"/>
    <mergeCell ref="E607:H607"/>
    <mergeCell ref="J607:L607"/>
    <mergeCell ref="E602:H602"/>
    <mergeCell ref="J602:L602"/>
    <mergeCell ref="E603:H603"/>
    <mergeCell ref="J603:L603"/>
    <mergeCell ref="E604:H604"/>
    <mergeCell ref="J604:L604"/>
    <mergeCell ref="E626:H626"/>
    <mergeCell ref="J626:L626"/>
    <mergeCell ref="D627:D628"/>
    <mergeCell ref="E627:H628"/>
    <mergeCell ref="I627:I628"/>
    <mergeCell ref="J627:L627"/>
    <mergeCell ref="J628:L628"/>
    <mergeCell ref="D614:Q614"/>
    <mergeCell ref="D615:Q615"/>
    <mergeCell ref="D616:Q616"/>
    <mergeCell ref="C620:J620"/>
    <mergeCell ref="C622:E622"/>
    <mergeCell ref="C624:E624"/>
    <mergeCell ref="G624:K624"/>
    <mergeCell ref="E611:H611"/>
    <mergeCell ref="J611:L611"/>
    <mergeCell ref="E612:H612"/>
    <mergeCell ref="J612:L612"/>
    <mergeCell ref="E613:H613"/>
    <mergeCell ref="J613:L613"/>
    <mergeCell ref="E635:H635"/>
    <mergeCell ref="J635:L635"/>
    <mergeCell ref="E636:H636"/>
    <mergeCell ref="J636:L636"/>
    <mergeCell ref="E637:H637"/>
    <mergeCell ref="J637:L637"/>
    <mergeCell ref="E632:H632"/>
    <mergeCell ref="J632:L632"/>
    <mergeCell ref="E633:H633"/>
    <mergeCell ref="J633:L633"/>
    <mergeCell ref="E634:H634"/>
    <mergeCell ref="J634:L634"/>
    <mergeCell ref="E629:H629"/>
    <mergeCell ref="J629:L629"/>
    <mergeCell ref="E630:H630"/>
    <mergeCell ref="J630:L630"/>
    <mergeCell ref="E631:H631"/>
    <mergeCell ref="J631:L631"/>
    <mergeCell ref="D651:F651"/>
    <mergeCell ref="H651:L651"/>
    <mergeCell ref="F653:I653"/>
    <mergeCell ref="K653:M653"/>
    <mergeCell ref="F654:I654"/>
    <mergeCell ref="K654:M654"/>
    <mergeCell ref="E644:H644"/>
    <mergeCell ref="J644:L644"/>
    <mergeCell ref="E645:H645"/>
    <mergeCell ref="J645:L645"/>
    <mergeCell ref="D647:K647"/>
    <mergeCell ref="D649:F649"/>
    <mergeCell ref="D638:D643"/>
    <mergeCell ref="E638:H643"/>
    <mergeCell ref="I638:I643"/>
    <mergeCell ref="J638:L641"/>
    <mergeCell ref="M638:M641"/>
    <mergeCell ref="J642:L642"/>
    <mergeCell ref="J643:L643"/>
    <mergeCell ref="F661:I661"/>
    <mergeCell ref="K661:M661"/>
    <mergeCell ref="F662:I662"/>
    <mergeCell ref="K662:M662"/>
    <mergeCell ref="F663:I663"/>
    <mergeCell ref="K663:M663"/>
    <mergeCell ref="F658:I658"/>
    <mergeCell ref="K658:M658"/>
    <mergeCell ref="F659:I659"/>
    <mergeCell ref="K659:M659"/>
    <mergeCell ref="F660:I660"/>
    <mergeCell ref="K660:M660"/>
    <mergeCell ref="F655:I655"/>
    <mergeCell ref="K655:M655"/>
    <mergeCell ref="F656:I656"/>
    <mergeCell ref="K656:M656"/>
    <mergeCell ref="F657:I657"/>
    <mergeCell ref="K657:M657"/>
    <mergeCell ref="F670:I670"/>
    <mergeCell ref="K670:M670"/>
    <mergeCell ref="F671:I671"/>
    <mergeCell ref="K671:M671"/>
    <mergeCell ref="F672:I672"/>
    <mergeCell ref="K672:M672"/>
    <mergeCell ref="F667:I667"/>
    <mergeCell ref="K667:M667"/>
    <mergeCell ref="F668:I668"/>
    <mergeCell ref="K668:M668"/>
    <mergeCell ref="F669:I669"/>
    <mergeCell ref="K669:M669"/>
    <mergeCell ref="F664:I664"/>
    <mergeCell ref="K664:M664"/>
    <mergeCell ref="F665:I665"/>
    <mergeCell ref="K665:M665"/>
    <mergeCell ref="F666:I666"/>
    <mergeCell ref="K666:M666"/>
    <mergeCell ref="G693:J693"/>
    <mergeCell ref="L693:N693"/>
    <mergeCell ref="G694:J694"/>
    <mergeCell ref="L694:N694"/>
    <mergeCell ref="G695:J695"/>
    <mergeCell ref="L695:N695"/>
    <mergeCell ref="G683:J683"/>
    <mergeCell ref="L683:N683"/>
    <mergeCell ref="E687:L687"/>
    <mergeCell ref="E689:G689"/>
    <mergeCell ref="E691:G691"/>
    <mergeCell ref="I691:M691"/>
    <mergeCell ref="E676:L676"/>
    <mergeCell ref="E678:G678"/>
    <mergeCell ref="E680:G680"/>
    <mergeCell ref="I680:M680"/>
    <mergeCell ref="G682:J682"/>
    <mergeCell ref="L682:N682"/>
    <mergeCell ref="G709:J709"/>
    <mergeCell ref="L709:N709"/>
    <mergeCell ref="G710:J710"/>
    <mergeCell ref="L710:N710"/>
    <mergeCell ref="G711:J711"/>
    <mergeCell ref="L711:N711"/>
    <mergeCell ref="G706:J706"/>
    <mergeCell ref="L706:N706"/>
    <mergeCell ref="G707:J707"/>
    <mergeCell ref="L707:N707"/>
    <mergeCell ref="G708:J708"/>
    <mergeCell ref="L708:N708"/>
    <mergeCell ref="G696:J696"/>
    <mergeCell ref="L696:N696"/>
    <mergeCell ref="E700:L700"/>
    <mergeCell ref="E702:G702"/>
    <mergeCell ref="E704:G704"/>
    <mergeCell ref="I704:M704"/>
    <mergeCell ref="G725:J725"/>
    <mergeCell ref="L725:N725"/>
    <mergeCell ref="G726:J726"/>
    <mergeCell ref="L726:N726"/>
    <mergeCell ref="G727:J727"/>
    <mergeCell ref="L727:N727"/>
    <mergeCell ref="E718:L718"/>
    <mergeCell ref="E720:G720"/>
    <mergeCell ref="E722:G722"/>
    <mergeCell ref="I722:M722"/>
    <mergeCell ref="G724:J724"/>
    <mergeCell ref="L724:N724"/>
    <mergeCell ref="G712:J712"/>
    <mergeCell ref="L712:N712"/>
    <mergeCell ref="G713:J713"/>
    <mergeCell ref="L713:N713"/>
    <mergeCell ref="G714:J714"/>
    <mergeCell ref="L714:N714"/>
    <mergeCell ref="G741:J741"/>
    <mergeCell ref="L741:N741"/>
    <mergeCell ref="G742:J742"/>
    <mergeCell ref="L742:N742"/>
    <mergeCell ref="G743:J743"/>
    <mergeCell ref="L743:N743"/>
    <mergeCell ref="G738:J738"/>
    <mergeCell ref="L738:N738"/>
    <mergeCell ref="G739:J739"/>
    <mergeCell ref="L739:N739"/>
    <mergeCell ref="G740:J740"/>
    <mergeCell ref="L740:N740"/>
    <mergeCell ref="E731:L731"/>
    <mergeCell ref="E733:G733"/>
    <mergeCell ref="E735:I735"/>
    <mergeCell ref="J735:N735"/>
    <mergeCell ref="G737:J737"/>
    <mergeCell ref="L737:N737"/>
    <mergeCell ref="E760:L760"/>
    <mergeCell ref="E762:G762"/>
    <mergeCell ref="E764:G764"/>
    <mergeCell ref="I764:M764"/>
    <mergeCell ref="G766:J766"/>
    <mergeCell ref="L766:N766"/>
    <mergeCell ref="G754:J754"/>
    <mergeCell ref="L754:N754"/>
    <mergeCell ref="G755:J755"/>
    <mergeCell ref="L755:N755"/>
    <mergeCell ref="G756:J756"/>
    <mergeCell ref="L756:N756"/>
    <mergeCell ref="E747:L747"/>
    <mergeCell ref="E749:G749"/>
    <mergeCell ref="E751:G751"/>
    <mergeCell ref="I751:M751"/>
    <mergeCell ref="G753:J753"/>
    <mergeCell ref="L753:N753"/>
    <mergeCell ref="G780:J780"/>
    <mergeCell ref="L780:N780"/>
    <mergeCell ref="G781:J781"/>
    <mergeCell ref="L781:N781"/>
    <mergeCell ref="G782:J782"/>
    <mergeCell ref="L782:N782"/>
    <mergeCell ref="G770:J770"/>
    <mergeCell ref="L770:N770"/>
    <mergeCell ref="E774:L774"/>
    <mergeCell ref="E776:G776"/>
    <mergeCell ref="E778:G778"/>
    <mergeCell ref="I778:M778"/>
    <mergeCell ref="G767:J767"/>
    <mergeCell ref="L767:N767"/>
    <mergeCell ref="G768:J768"/>
    <mergeCell ref="L768:N768"/>
    <mergeCell ref="G769:J769"/>
    <mergeCell ref="L769:N769"/>
    <mergeCell ref="E802:G802"/>
    <mergeCell ref="I802:M802"/>
    <mergeCell ref="G804:J804"/>
    <mergeCell ref="L804:N804"/>
    <mergeCell ref="G805:J805"/>
    <mergeCell ref="L805:N805"/>
    <mergeCell ref="G793:J793"/>
    <mergeCell ref="L793:N793"/>
    <mergeCell ref="G794:J794"/>
    <mergeCell ref="L794:N794"/>
    <mergeCell ref="E798:L798"/>
    <mergeCell ref="E800:G800"/>
    <mergeCell ref="G783:J783"/>
    <mergeCell ref="L783:N783"/>
    <mergeCell ref="E787:L787"/>
    <mergeCell ref="E789:G789"/>
    <mergeCell ref="E791:G791"/>
    <mergeCell ref="I791:M791"/>
    <mergeCell ref="G819:J819"/>
    <mergeCell ref="L819:N819"/>
    <mergeCell ref="G820:J820"/>
    <mergeCell ref="L820:N820"/>
    <mergeCell ref="G821:J821"/>
    <mergeCell ref="L821:N821"/>
    <mergeCell ref="E812:L812"/>
    <mergeCell ref="E814:G814"/>
    <mergeCell ref="E816:G816"/>
    <mergeCell ref="I816:M816"/>
    <mergeCell ref="G818:J818"/>
    <mergeCell ref="L818:N818"/>
    <mergeCell ref="G806:J806"/>
    <mergeCell ref="L806:N806"/>
    <mergeCell ref="G807:J807"/>
    <mergeCell ref="L807:N807"/>
    <mergeCell ref="G808:J808"/>
    <mergeCell ref="L808:N808"/>
    <mergeCell ref="G835:J835"/>
    <mergeCell ref="L835:N835"/>
    <mergeCell ref="G836:J836"/>
    <mergeCell ref="L836:N836"/>
    <mergeCell ref="G837:J837"/>
    <mergeCell ref="L837:N837"/>
    <mergeCell ref="E828:L828"/>
    <mergeCell ref="E830:G830"/>
    <mergeCell ref="E832:G832"/>
    <mergeCell ref="I832:M832"/>
    <mergeCell ref="G834:J834"/>
    <mergeCell ref="L834:N834"/>
    <mergeCell ref="G822:J822"/>
    <mergeCell ref="L822:N822"/>
    <mergeCell ref="G823:J823"/>
    <mergeCell ref="L823:N823"/>
    <mergeCell ref="G824:J824"/>
    <mergeCell ref="L824:N8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01"/>
  <sheetViews>
    <sheetView topLeftCell="A1120" workbookViewId="0">
      <selection activeCell="M1108" sqref="M1108"/>
    </sheetView>
  </sheetViews>
  <sheetFormatPr defaultRowHeight="12.75"/>
  <cols>
    <col min="1" max="1" width="10.28515625" customWidth="1"/>
    <col min="2" max="2" width="8.42578125" customWidth="1"/>
    <col min="3" max="3" width="10.5703125" customWidth="1"/>
    <col min="4" max="4" width="17.7109375" customWidth="1"/>
    <col min="5" max="5" width="20.85546875" customWidth="1"/>
    <col min="6" max="6" width="11" customWidth="1"/>
    <col min="7" max="7" width="11.7109375" customWidth="1"/>
    <col min="8" max="8" width="10.42578125" customWidth="1"/>
    <col min="9" max="9" width="11.5703125" customWidth="1"/>
    <col min="10" max="10" width="19.5703125" customWidth="1"/>
    <col min="11" max="11" width="11.28515625" customWidth="1"/>
    <col min="12" max="12" width="11.140625" customWidth="1"/>
    <col min="13" max="13" width="16.7109375" customWidth="1"/>
    <col min="14" max="14" width="17.28515625" customWidth="1"/>
    <col min="15" max="15" width="15.85546875" customWidth="1"/>
  </cols>
  <sheetData>
    <row r="1" spans="1:14" ht="15">
      <c r="A1" s="1587" t="s">
        <v>2300</v>
      </c>
      <c r="B1" s="1588"/>
      <c r="C1" s="1589"/>
      <c r="D1" s="1588"/>
      <c r="E1" s="1588"/>
      <c r="F1" s="1588"/>
      <c r="G1" s="1588"/>
      <c r="H1" s="1588"/>
      <c r="I1" s="1588"/>
      <c r="J1" s="1588"/>
      <c r="K1" s="1588"/>
      <c r="L1" s="1588"/>
      <c r="M1" s="1590"/>
      <c r="N1" s="1588"/>
    </row>
    <row r="2" spans="1:14" ht="15">
      <c r="A2" s="1591" t="s">
        <v>2301</v>
      </c>
      <c r="B2" s="1588"/>
      <c r="C2" s="1589"/>
      <c r="D2" s="1588"/>
      <c r="E2" s="1588"/>
      <c r="F2" s="1588"/>
      <c r="G2" s="1588"/>
      <c r="H2" s="1588"/>
      <c r="I2" s="1588"/>
      <c r="J2" s="1588"/>
      <c r="K2" s="1588"/>
      <c r="L2" s="1588"/>
      <c r="M2" s="1590"/>
      <c r="N2" s="1588"/>
    </row>
    <row r="3" spans="1:14" ht="15">
      <c r="A3" s="1587" t="s">
        <v>2302</v>
      </c>
      <c r="B3" s="1588"/>
      <c r="C3" s="1589"/>
      <c r="D3" s="1588"/>
      <c r="E3" s="1588"/>
      <c r="F3" s="1588"/>
      <c r="G3" s="1588"/>
      <c r="H3" s="1588"/>
      <c r="I3" s="1588"/>
      <c r="J3" s="1588"/>
      <c r="K3" s="1588"/>
      <c r="L3" s="1588"/>
      <c r="M3" s="1590"/>
      <c r="N3" s="1588"/>
    </row>
    <row r="4" spans="1:14" ht="45">
      <c r="A4" s="1592" t="s">
        <v>2303</v>
      </c>
      <c r="B4" s="1592" t="s">
        <v>2304</v>
      </c>
      <c r="C4" s="1592" t="s">
        <v>2305</v>
      </c>
      <c r="D4" s="1592" t="s">
        <v>2306</v>
      </c>
      <c r="E4" s="1592" t="s">
        <v>2307</v>
      </c>
      <c r="F4" s="1592" t="s">
        <v>87</v>
      </c>
      <c r="G4" s="1592" t="s">
        <v>2308</v>
      </c>
      <c r="H4" s="1593" t="s">
        <v>2309</v>
      </c>
      <c r="I4" s="1593" t="s">
        <v>2310</v>
      </c>
      <c r="J4" s="1593" t="s">
        <v>2311</v>
      </c>
      <c r="K4" s="1593" t="s">
        <v>2312</v>
      </c>
      <c r="L4" s="1593" t="s">
        <v>2313</v>
      </c>
      <c r="M4" s="1594" t="s">
        <v>2314</v>
      </c>
      <c r="N4" s="1592" t="s">
        <v>2315</v>
      </c>
    </row>
    <row r="5" spans="1:14" ht="15">
      <c r="A5" s="1595"/>
      <c r="B5" s="1595"/>
      <c r="C5" s="1595"/>
      <c r="D5" s="1595"/>
      <c r="E5" s="1595"/>
      <c r="F5" s="1595"/>
      <c r="G5" s="1595"/>
      <c r="H5" s="1595"/>
      <c r="I5" s="1595"/>
      <c r="J5" s="1595"/>
      <c r="K5" s="1595"/>
      <c r="L5" s="1595"/>
      <c r="M5" s="1596">
        <f>SUM(M6:M259)</f>
        <v>23345579000</v>
      </c>
      <c r="N5" s="1595" t="s">
        <v>82</v>
      </c>
    </row>
    <row r="6" spans="1:14" ht="15">
      <c r="A6" s="1597" t="s">
        <v>2316</v>
      </c>
      <c r="B6" s="1598">
        <v>13</v>
      </c>
      <c r="C6" s="1599">
        <v>1013138</v>
      </c>
      <c r="D6" s="1600">
        <v>1</v>
      </c>
      <c r="E6" s="1600">
        <v>10430</v>
      </c>
      <c r="F6" s="1600">
        <v>6000000</v>
      </c>
      <c r="G6" s="1601" t="s">
        <v>2317</v>
      </c>
      <c r="H6" s="1602">
        <v>3535</v>
      </c>
      <c r="I6" s="1602" t="s">
        <v>2318</v>
      </c>
      <c r="J6" s="1602" t="s">
        <v>2319</v>
      </c>
      <c r="K6" s="1603" t="s">
        <v>2320</v>
      </c>
      <c r="L6" s="1603" t="s">
        <v>2320</v>
      </c>
      <c r="M6" s="1604">
        <v>9650000</v>
      </c>
      <c r="N6" s="1598" t="s">
        <v>2321</v>
      </c>
    </row>
    <row r="7" spans="1:14" ht="15">
      <c r="A7" s="1597" t="s">
        <v>2316</v>
      </c>
      <c r="B7" s="1598">
        <v>13</v>
      </c>
      <c r="C7" s="1599">
        <v>1013138</v>
      </c>
      <c r="D7" s="1600">
        <v>1</v>
      </c>
      <c r="E7" s="1600">
        <v>10430</v>
      </c>
      <c r="F7" s="1600">
        <v>6010000</v>
      </c>
      <c r="G7" s="1601" t="s">
        <v>2317</v>
      </c>
      <c r="H7" s="1602">
        <v>3535</v>
      </c>
      <c r="I7" s="1602" t="s">
        <v>2318</v>
      </c>
      <c r="J7" s="1602" t="s">
        <v>2319</v>
      </c>
      <c r="K7" s="1603" t="s">
        <v>2320</v>
      </c>
      <c r="L7" s="1603" t="s">
        <v>2320</v>
      </c>
      <c r="M7" s="1604">
        <v>1620000</v>
      </c>
      <c r="N7" s="1598" t="s">
        <v>2321</v>
      </c>
    </row>
    <row r="8" spans="1:14" ht="15">
      <c r="A8" s="1597" t="s">
        <v>2316</v>
      </c>
      <c r="B8" s="1598">
        <v>13</v>
      </c>
      <c r="C8" s="1599">
        <v>1013138</v>
      </c>
      <c r="D8" s="1600">
        <v>1</v>
      </c>
      <c r="E8" s="1600">
        <v>10430</v>
      </c>
      <c r="F8" s="1600">
        <v>6020000</v>
      </c>
      <c r="G8" s="1601" t="s">
        <v>2317</v>
      </c>
      <c r="H8" s="1602">
        <v>3535</v>
      </c>
      <c r="I8" s="1602" t="s">
        <v>2318</v>
      </c>
      <c r="J8" s="1602" t="s">
        <v>2319</v>
      </c>
      <c r="K8" s="1603" t="s">
        <v>2320</v>
      </c>
      <c r="L8" s="1603" t="s">
        <v>2320</v>
      </c>
      <c r="M8" s="1604">
        <v>14680000</v>
      </c>
      <c r="N8" s="1598" t="s">
        <v>2321</v>
      </c>
    </row>
    <row r="9" spans="1:14" ht="15">
      <c r="A9" s="1598">
        <v>115</v>
      </c>
      <c r="B9" s="1598">
        <v>13</v>
      </c>
      <c r="C9" s="1599" t="s">
        <v>2322</v>
      </c>
      <c r="D9" s="1600">
        <v>1</v>
      </c>
      <c r="E9" s="1600">
        <v>10430</v>
      </c>
      <c r="F9" s="1600">
        <v>6000000</v>
      </c>
      <c r="G9" s="1601" t="s">
        <v>2317</v>
      </c>
      <c r="H9" s="1602">
        <v>1111</v>
      </c>
      <c r="I9" s="1602" t="s">
        <v>2318</v>
      </c>
      <c r="J9" s="1602" t="s">
        <v>2319</v>
      </c>
      <c r="K9" s="1603" t="s">
        <v>2320</v>
      </c>
      <c r="L9" s="1603" t="s">
        <v>2320</v>
      </c>
      <c r="M9" s="1604">
        <v>12000000</v>
      </c>
      <c r="N9" s="1598" t="s">
        <v>2323</v>
      </c>
    </row>
    <row r="10" spans="1:14" ht="15">
      <c r="A10" s="1598">
        <v>115</v>
      </c>
      <c r="B10" s="1598">
        <v>13</v>
      </c>
      <c r="C10" s="1599" t="s">
        <v>2322</v>
      </c>
      <c r="D10" s="1600">
        <v>1</v>
      </c>
      <c r="E10" s="1600">
        <v>10430</v>
      </c>
      <c r="F10" s="1600">
        <v>6010000</v>
      </c>
      <c r="G10" s="1601" t="s">
        <v>2317</v>
      </c>
      <c r="H10" s="1602">
        <v>1111</v>
      </c>
      <c r="I10" s="1602" t="s">
        <v>2318</v>
      </c>
      <c r="J10" s="1602" t="s">
        <v>2319</v>
      </c>
      <c r="K10" s="1603" t="s">
        <v>2320</v>
      </c>
      <c r="L10" s="1603" t="s">
        <v>2320</v>
      </c>
      <c r="M10" s="1604">
        <v>2050000</v>
      </c>
      <c r="N10" s="1598" t="s">
        <v>2323</v>
      </c>
    </row>
    <row r="11" spans="1:14" ht="15">
      <c r="A11" s="1598">
        <v>115</v>
      </c>
      <c r="B11" s="1598">
        <v>13</v>
      </c>
      <c r="C11" s="1599" t="s">
        <v>2322</v>
      </c>
      <c r="D11" s="1600">
        <v>1</v>
      </c>
      <c r="E11" s="1600">
        <v>10430</v>
      </c>
      <c r="F11" s="1600">
        <v>6020000</v>
      </c>
      <c r="G11" s="1601" t="s">
        <v>2317</v>
      </c>
      <c r="H11" s="1602">
        <v>1111</v>
      </c>
      <c r="I11" s="1602" t="s">
        <v>2318</v>
      </c>
      <c r="J11" s="1602" t="s">
        <v>2319</v>
      </c>
      <c r="K11" s="1603" t="s">
        <v>2320</v>
      </c>
      <c r="L11" s="1603" t="s">
        <v>2320</v>
      </c>
      <c r="M11" s="1604">
        <v>17770000</v>
      </c>
      <c r="N11" s="1598" t="s">
        <v>2323</v>
      </c>
    </row>
    <row r="12" spans="1:14" ht="15">
      <c r="A12" s="1598">
        <v>111</v>
      </c>
      <c r="B12" s="1598">
        <v>13</v>
      </c>
      <c r="C12" s="1599" t="s">
        <v>2324</v>
      </c>
      <c r="D12" s="1600">
        <v>1</v>
      </c>
      <c r="E12" s="1600">
        <v>10430</v>
      </c>
      <c r="F12" s="1600">
        <v>6000000</v>
      </c>
      <c r="G12" s="1601" t="s">
        <v>2317</v>
      </c>
      <c r="H12" s="1602" t="s">
        <v>2325</v>
      </c>
      <c r="I12" s="1602" t="s">
        <v>2318</v>
      </c>
      <c r="J12" s="1602" t="s">
        <v>2319</v>
      </c>
      <c r="K12" s="1603" t="s">
        <v>2320</v>
      </c>
      <c r="L12" s="1603" t="s">
        <v>2320</v>
      </c>
      <c r="M12" s="1604">
        <v>10580000</v>
      </c>
      <c r="N12" s="1598" t="s">
        <v>2326</v>
      </c>
    </row>
    <row r="13" spans="1:14" ht="15">
      <c r="A13" s="1598">
        <v>111</v>
      </c>
      <c r="B13" s="1598">
        <v>13</v>
      </c>
      <c r="C13" s="1599" t="s">
        <v>2324</v>
      </c>
      <c r="D13" s="1600">
        <v>1</v>
      </c>
      <c r="E13" s="1600">
        <v>10430</v>
      </c>
      <c r="F13" s="1600">
        <v>6010000</v>
      </c>
      <c r="G13" s="1601" t="s">
        <v>2317</v>
      </c>
      <c r="H13" s="1602" t="s">
        <v>2325</v>
      </c>
      <c r="I13" s="1602" t="s">
        <v>2318</v>
      </c>
      <c r="J13" s="1602" t="s">
        <v>2319</v>
      </c>
      <c r="K13" s="1603" t="s">
        <v>2320</v>
      </c>
      <c r="L13" s="1603" t="s">
        <v>2320</v>
      </c>
      <c r="M13" s="1604">
        <v>1800000</v>
      </c>
      <c r="N13" s="1598" t="s">
        <v>2326</v>
      </c>
    </row>
    <row r="14" spans="1:14" ht="15">
      <c r="A14" s="1598">
        <v>111</v>
      </c>
      <c r="B14" s="1598">
        <v>13</v>
      </c>
      <c r="C14" s="1599" t="s">
        <v>2324</v>
      </c>
      <c r="D14" s="1600">
        <v>1</v>
      </c>
      <c r="E14" s="1600">
        <v>10430</v>
      </c>
      <c r="F14" s="1600">
        <v>6020000</v>
      </c>
      <c r="G14" s="1601" t="s">
        <v>2317</v>
      </c>
      <c r="H14" s="1602" t="s">
        <v>2325</v>
      </c>
      <c r="I14" s="1602" t="s">
        <v>2318</v>
      </c>
      <c r="J14" s="1602" t="s">
        <v>2319</v>
      </c>
      <c r="K14" s="1603" t="s">
        <v>2320</v>
      </c>
      <c r="L14" s="1603" t="s">
        <v>2320</v>
      </c>
      <c r="M14" s="1604">
        <v>18000000</v>
      </c>
      <c r="N14" s="1598" t="s">
        <v>2326</v>
      </c>
    </row>
    <row r="15" spans="1:14" ht="15">
      <c r="A15" s="1598">
        <v>118</v>
      </c>
      <c r="B15" s="1598">
        <v>13</v>
      </c>
      <c r="C15" s="1599" t="s">
        <v>2327</v>
      </c>
      <c r="D15" s="1600">
        <v>1</v>
      </c>
      <c r="E15" s="1600">
        <v>10430</v>
      </c>
      <c r="F15" s="1600">
        <v>6000000</v>
      </c>
      <c r="G15" s="1601" t="s">
        <v>2317</v>
      </c>
      <c r="H15" s="1602">
        <v>3513</v>
      </c>
      <c r="I15" s="1602" t="s">
        <v>2318</v>
      </c>
      <c r="J15" s="1602" t="s">
        <v>2319</v>
      </c>
      <c r="K15" s="1603" t="s">
        <v>2320</v>
      </c>
      <c r="L15" s="1603" t="s">
        <v>2320</v>
      </c>
      <c r="M15" s="1604">
        <v>11770000</v>
      </c>
      <c r="N15" s="1598" t="s">
        <v>2328</v>
      </c>
    </row>
    <row r="16" spans="1:14" ht="15">
      <c r="A16" s="1598">
        <v>118</v>
      </c>
      <c r="B16" s="1598">
        <v>13</v>
      </c>
      <c r="C16" s="1599" t="s">
        <v>2327</v>
      </c>
      <c r="D16" s="1600">
        <v>1</v>
      </c>
      <c r="E16" s="1600">
        <v>10430</v>
      </c>
      <c r="F16" s="1600">
        <v>6010000</v>
      </c>
      <c r="G16" s="1601" t="s">
        <v>2317</v>
      </c>
      <c r="H16" s="1602">
        <v>3513</v>
      </c>
      <c r="I16" s="1602" t="s">
        <v>2318</v>
      </c>
      <c r="J16" s="1602" t="s">
        <v>2319</v>
      </c>
      <c r="K16" s="1603" t="s">
        <v>2320</v>
      </c>
      <c r="L16" s="1603" t="s">
        <v>2320</v>
      </c>
      <c r="M16" s="1604">
        <v>2000000</v>
      </c>
      <c r="N16" s="1598" t="s">
        <v>2328</v>
      </c>
    </row>
    <row r="17" spans="1:14" ht="15">
      <c r="A17" s="1598">
        <v>118</v>
      </c>
      <c r="B17" s="1598">
        <v>13</v>
      </c>
      <c r="C17" s="1599" t="s">
        <v>2327</v>
      </c>
      <c r="D17" s="1600">
        <v>1</v>
      </c>
      <c r="E17" s="1600">
        <v>10430</v>
      </c>
      <c r="F17" s="1600">
        <v>6020000</v>
      </c>
      <c r="G17" s="1601" t="s">
        <v>2317</v>
      </c>
      <c r="H17" s="1602">
        <v>3513</v>
      </c>
      <c r="I17" s="1602" t="s">
        <v>2318</v>
      </c>
      <c r="J17" s="1602" t="s">
        <v>2319</v>
      </c>
      <c r="K17" s="1603" t="s">
        <v>2320</v>
      </c>
      <c r="L17" s="1603" t="s">
        <v>2320</v>
      </c>
      <c r="M17" s="1604">
        <v>15909000</v>
      </c>
      <c r="N17" s="1598" t="s">
        <v>2328</v>
      </c>
    </row>
    <row r="18" spans="1:14" ht="15">
      <c r="A18" s="1598">
        <v>141</v>
      </c>
      <c r="B18" s="1598">
        <v>13</v>
      </c>
      <c r="C18" s="1605" t="s">
        <v>2329</v>
      </c>
      <c r="D18" s="1600">
        <v>1</v>
      </c>
      <c r="E18" s="1600">
        <v>10430</v>
      </c>
      <c r="F18" s="1600">
        <v>6000000</v>
      </c>
      <c r="G18" s="1601" t="s">
        <v>2317</v>
      </c>
      <c r="H18" s="1602">
        <v>3333</v>
      </c>
      <c r="I18" s="1602" t="s">
        <v>2318</v>
      </c>
      <c r="J18" s="1602" t="s">
        <v>2319</v>
      </c>
      <c r="K18" s="1603" t="s">
        <v>2320</v>
      </c>
      <c r="L18" s="1603" t="s">
        <v>2320</v>
      </c>
      <c r="M18" s="1604">
        <v>14000000</v>
      </c>
      <c r="N18" s="1598" t="s">
        <v>2330</v>
      </c>
    </row>
    <row r="19" spans="1:14" ht="15">
      <c r="A19" s="1598">
        <v>141</v>
      </c>
      <c r="B19" s="1598">
        <v>13</v>
      </c>
      <c r="C19" s="1605" t="s">
        <v>2329</v>
      </c>
      <c r="D19" s="1600">
        <v>1</v>
      </c>
      <c r="E19" s="1600">
        <v>10430</v>
      </c>
      <c r="F19" s="1600">
        <v>6010000</v>
      </c>
      <c r="G19" s="1601" t="s">
        <v>2317</v>
      </c>
      <c r="H19" s="1602">
        <v>3333</v>
      </c>
      <c r="I19" s="1602" t="s">
        <v>2318</v>
      </c>
      <c r="J19" s="1602" t="s">
        <v>2319</v>
      </c>
      <c r="K19" s="1603" t="s">
        <v>2320</v>
      </c>
      <c r="L19" s="1603" t="s">
        <v>2320</v>
      </c>
      <c r="M19" s="1604">
        <v>2350000</v>
      </c>
      <c r="N19" s="1598" t="s">
        <v>2330</v>
      </c>
    </row>
    <row r="20" spans="1:14" ht="15">
      <c r="A20" s="1598">
        <v>141</v>
      </c>
      <c r="B20" s="1598">
        <v>13</v>
      </c>
      <c r="C20" s="1605" t="s">
        <v>2329</v>
      </c>
      <c r="D20" s="1600">
        <v>1</v>
      </c>
      <c r="E20" s="1600">
        <v>10430</v>
      </c>
      <c r="F20" s="1600">
        <v>6020000</v>
      </c>
      <c r="G20" s="1601" t="s">
        <v>2317</v>
      </c>
      <c r="H20" s="1602">
        <v>3333</v>
      </c>
      <c r="I20" s="1602" t="s">
        <v>2318</v>
      </c>
      <c r="J20" s="1602" t="s">
        <v>2319</v>
      </c>
      <c r="K20" s="1603" t="s">
        <v>2320</v>
      </c>
      <c r="L20" s="1603" t="s">
        <v>2320</v>
      </c>
      <c r="M20" s="1604">
        <v>15100000</v>
      </c>
      <c r="N20" s="1598" t="s">
        <v>2330</v>
      </c>
    </row>
    <row r="21" spans="1:14" ht="15">
      <c r="A21" s="1598" t="s">
        <v>2331</v>
      </c>
      <c r="B21" s="1598">
        <v>13</v>
      </c>
      <c r="C21" s="1599" t="s">
        <v>2332</v>
      </c>
      <c r="D21" s="1600">
        <v>1</v>
      </c>
      <c r="E21" s="1600">
        <v>10430</v>
      </c>
      <c r="F21" s="1600">
        <v>6000000</v>
      </c>
      <c r="G21" s="1601" t="s">
        <v>2317</v>
      </c>
      <c r="H21" s="1602" t="s">
        <v>2333</v>
      </c>
      <c r="I21" s="1602" t="s">
        <v>2318</v>
      </c>
      <c r="J21" s="1602" t="s">
        <v>2319</v>
      </c>
      <c r="K21" s="1603" t="s">
        <v>2320</v>
      </c>
      <c r="L21" s="1603" t="s">
        <v>2320</v>
      </c>
      <c r="M21" s="1604">
        <v>7470000</v>
      </c>
      <c r="N21" s="1598" t="s">
        <v>2334</v>
      </c>
    </row>
    <row r="22" spans="1:14" ht="15">
      <c r="A22" s="1598" t="s">
        <v>2331</v>
      </c>
      <c r="B22" s="1598">
        <v>13</v>
      </c>
      <c r="C22" s="1599" t="s">
        <v>2332</v>
      </c>
      <c r="D22" s="1600">
        <v>1</v>
      </c>
      <c r="E22" s="1600">
        <v>10430</v>
      </c>
      <c r="F22" s="1600">
        <v>6010000</v>
      </c>
      <c r="G22" s="1601" t="s">
        <v>2317</v>
      </c>
      <c r="H22" s="1602" t="s">
        <v>2333</v>
      </c>
      <c r="I22" s="1602" t="s">
        <v>2318</v>
      </c>
      <c r="J22" s="1602" t="s">
        <v>2319</v>
      </c>
      <c r="K22" s="1603" t="s">
        <v>2320</v>
      </c>
      <c r="L22" s="1603" t="s">
        <v>2320</v>
      </c>
      <c r="M22" s="1604">
        <v>1250000</v>
      </c>
      <c r="N22" s="1598" t="s">
        <v>2334</v>
      </c>
    </row>
    <row r="23" spans="1:14" ht="15">
      <c r="A23" s="1598" t="s">
        <v>2331</v>
      </c>
      <c r="B23" s="1598">
        <v>13</v>
      </c>
      <c r="C23" s="1599" t="s">
        <v>2332</v>
      </c>
      <c r="D23" s="1600">
        <v>1</v>
      </c>
      <c r="E23" s="1600">
        <v>10430</v>
      </c>
      <c r="F23" s="1600">
        <v>6020000</v>
      </c>
      <c r="G23" s="1601" t="s">
        <v>2317</v>
      </c>
      <c r="H23" s="1602" t="s">
        <v>2333</v>
      </c>
      <c r="I23" s="1602" t="s">
        <v>2318</v>
      </c>
      <c r="J23" s="1602" t="s">
        <v>2319</v>
      </c>
      <c r="K23" s="1603" t="s">
        <v>2320</v>
      </c>
      <c r="L23" s="1603" t="s">
        <v>2320</v>
      </c>
      <c r="M23" s="1604">
        <v>12870000</v>
      </c>
      <c r="N23" s="1598" t="s">
        <v>2334</v>
      </c>
    </row>
    <row r="24" spans="1:14" ht="15">
      <c r="A24" s="1597" t="s">
        <v>2316</v>
      </c>
      <c r="B24" s="1598">
        <v>13</v>
      </c>
      <c r="C24" s="1599" t="s">
        <v>2335</v>
      </c>
      <c r="D24" s="1600">
        <v>1</v>
      </c>
      <c r="E24" s="1600">
        <v>10430</v>
      </c>
      <c r="F24" s="1600">
        <v>6000000</v>
      </c>
      <c r="G24" s="1601" t="s">
        <v>2317</v>
      </c>
      <c r="H24" s="1602" t="s">
        <v>2336</v>
      </c>
      <c r="I24" s="1602" t="s">
        <v>2318</v>
      </c>
      <c r="J24" s="1602" t="s">
        <v>2319</v>
      </c>
      <c r="K24" s="1603" t="s">
        <v>2320</v>
      </c>
      <c r="L24" s="1603" t="s">
        <v>2320</v>
      </c>
      <c r="M24" s="1604">
        <v>2000000</v>
      </c>
      <c r="N24" s="1598" t="s">
        <v>2337</v>
      </c>
    </row>
    <row r="25" spans="1:14" ht="15">
      <c r="A25" s="1597" t="s">
        <v>2316</v>
      </c>
      <c r="B25" s="1598">
        <v>13</v>
      </c>
      <c r="C25" s="1599" t="s">
        <v>2335</v>
      </c>
      <c r="D25" s="1600">
        <v>1</v>
      </c>
      <c r="E25" s="1600">
        <v>10430</v>
      </c>
      <c r="F25" s="1600">
        <v>6010000</v>
      </c>
      <c r="G25" s="1601" t="s">
        <v>2317</v>
      </c>
      <c r="H25" s="1602" t="s">
        <v>2336</v>
      </c>
      <c r="I25" s="1602" t="s">
        <v>2318</v>
      </c>
      <c r="J25" s="1602" t="s">
        <v>2319</v>
      </c>
      <c r="K25" s="1603" t="s">
        <v>2320</v>
      </c>
      <c r="L25" s="1603" t="s">
        <v>2320</v>
      </c>
      <c r="M25" s="1604">
        <v>350000</v>
      </c>
      <c r="N25" s="1598" t="s">
        <v>2337</v>
      </c>
    </row>
    <row r="26" spans="1:14" ht="15">
      <c r="A26" s="1597" t="s">
        <v>2316</v>
      </c>
      <c r="B26" s="1598">
        <v>13</v>
      </c>
      <c r="C26" s="1599" t="s">
        <v>2335</v>
      </c>
      <c r="D26" s="1600">
        <v>1</v>
      </c>
      <c r="E26" s="1600">
        <v>10430</v>
      </c>
      <c r="F26" s="1600">
        <v>6020000</v>
      </c>
      <c r="G26" s="1601" t="s">
        <v>2317</v>
      </c>
      <c r="H26" s="1602" t="s">
        <v>2336</v>
      </c>
      <c r="I26" s="1602" t="s">
        <v>2318</v>
      </c>
      <c r="J26" s="1602" t="s">
        <v>2319</v>
      </c>
      <c r="K26" s="1603" t="s">
        <v>2320</v>
      </c>
      <c r="L26" s="1603" t="s">
        <v>2320</v>
      </c>
      <c r="M26" s="1604">
        <v>1650000</v>
      </c>
      <c r="N26" s="1598" t="s">
        <v>2337</v>
      </c>
    </row>
    <row r="27" spans="1:14" ht="15">
      <c r="A27" s="1598">
        <v>138</v>
      </c>
      <c r="B27" s="1598">
        <v>13</v>
      </c>
      <c r="C27" s="1599" t="s">
        <v>2338</v>
      </c>
      <c r="D27" s="1600">
        <v>1</v>
      </c>
      <c r="E27" s="1600">
        <v>10430</v>
      </c>
      <c r="F27" s="1600">
        <v>6000000</v>
      </c>
      <c r="G27" s="1601" t="s">
        <v>2317</v>
      </c>
      <c r="H27" s="1602">
        <v>3731</v>
      </c>
      <c r="I27" s="1602" t="s">
        <v>2318</v>
      </c>
      <c r="J27" s="1602" t="s">
        <v>2319</v>
      </c>
      <c r="K27" s="1603" t="s">
        <v>2320</v>
      </c>
      <c r="L27" s="1603" t="s">
        <v>2320</v>
      </c>
      <c r="M27" s="1604">
        <v>3330000</v>
      </c>
      <c r="N27" s="1598" t="s">
        <v>2339</v>
      </c>
    </row>
    <row r="28" spans="1:14" ht="15">
      <c r="A28" s="1598">
        <v>138</v>
      </c>
      <c r="B28" s="1598">
        <v>13</v>
      </c>
      <c r="C28" s="1599" t="s">
        <v>2338</v>
      </c>
      <c r="D28" s="1600">
        <v>1</v>
      </c>
      <c r="E28" s="1600">
        <v>10430</v>
      </c>
      <c r="F28" s="1600">
        <v>6010000</v>
      </c>
      <c r="G28" s="1601" t="s">
        <v>2317</v>
      </c>
      <c r="H28" s="1602">
        <v>3731</v>
      </c>
      <c r="I28" s="1602" t="s">
        <v>2318</v>
      </c>
      <c r="J28" s="1602" t="s">
        <v>2319</v>
      </c>
      <c r="K28" s="1603" t="s">
        <v>2320</v>
      </c>
      <c r="L28" s="1603" t="s">
        <v>2320</v>
      </c>
      <c r="M28" s="1604">
        <v>600000</v>
      </c>
      <c r="N28" s="1598" t="s">
        <v>2339</v>
      </c>
    </row>
    <row r="29" spans="1:14" ht="15">
      <c r="A29" s="1598">
        <v>138</v>
      </c>
      <c r="B29" s="1598">
        <v>13</v>
      </c>
      <c r="C29" s="1599" t="s">
        <v>2338</v>
      </c>
      <c r="D29" s="1600">
        <v>1</v>
      </c>
      <c r="E29" s="1600">
        <v>10430</v>
      </c>
      <c r="F29" s="1600">
        <v>6020000</v>
      </c>
      <c r="G29" s="1601" t="s">
        <v>2317</v>
      </c>
      <c r="H29" s="1602">
        <v>3731</v>
      </c>
      <c r="I29" s="1602" t="s">
        <v>2318</v>
      </c>
      <c r="J29" s="1602" t="s">
        <v>2319</v>
      </c>
      <c r="K29" s="1603" t="s">
        <v>2320</v>
      </c>
      <c r="L29" s="1603" t="s">
        <v>2320</v>
      </c>
      <c r="M29" s="1604">
        <v>3170000</v>
      </c>
      <c r="N29" s="1598" t="s">
        <v>2339</v>
      </c>
    </row>
    <row r="30" spans="1:14" ht="15">
      <c r="A30" s="1598">
        <v>166</v>
      </c>
      <c r="B30" s="1598">
        <v>13</v>
      </c>
      <c r="C30" s="1599" t="s">
        <v>2340</v>
      </c>
      <c r="D30" s="1600">
        <v>1</v>
      </c>
      <c r="E30" s="1600">
        <v>10430</v>
      </c>
      <c r="F30" s="1600">
        <v>6000000</v>
      </c>
      <c r="G30" s="1601" t="s">
        <v>2317</v>
      </c>
      <c r="H30" s="1602">
        <v>3535</v>
      </c>
      <c r="I30" s="1602" t="s">
        <v>2318</v>
      </c>
      <c r="J30" s="1602" t="s">
        <v>2319</v>
      </c>
      <c r="K30" s="1603" t="s">
        <v>2320</v>
      </c>
      <c r="L30" s="1603" t="s">
        <v>2320</v>
      </c>
      <c r="M30" s="1604">
        <v>3970000</v>
      </c>
      <c r="N30" s="1598" t="s">
        <v>2341</v>
      </c>
    </row>
    <row r="31" spans="1:14" ht="15">
      <c r="A31" s="1598">
        <v>166</v>
      </c>
      <c r="B31" s="1598">
        <v>13</v>
      </c>
      <c r="C31" s="1599" t="s">
        <v>2340</v>
      </c>
      <c r="D31" s="1600">
        <v>1</v>
      </c>
      <c r="E31" s="1600">
        <v>10430</v>
      </c>
      <c r="F31" s="1600">
        <v>6010000</v>
      </c>
      <c r="G31" s="1601" t="s">
        <v>2317</v>
      </c>
      <c r="H31" s="1602">
        <v>3535</v>
      </c>
      <c r="I31" s="1602" t="s">
        <v>2318</v>
      </c>
      <c r="J31" s="1602" t="s">
        <v>2319</v>
      </c>
      <c r="K31" s="1603" t="s">
        <v>2320</v>
      </c>
      <c r="L31" s="1603" t="s">
        <v>2320</v>
      </c>
      <c r="M31" s="1604">
        <v>700000</v>
      </c>
      <c r="N31" s="1598" t="s">
        <v>2341</v>
      </c>
    </row>
    <row r="32" spans="1:14" ht="15">
      <c r="A32" s="1598">
        <v>166</v>
      </c>
      <c r="B32" s="1598">
        <v>13</v>
      </c>
      <c r="C32" s="1599" t="s">
        <v>2340</v>
      </c>
      <c r="D32" s="1600">
        <v>1</v>
      </c>
      <c r="E32" s="1600">
        <v>10430</v>
      </c>
      <c r="F32" s="1600">
        <v>6020000</v>
      </c>
      <c r="G32" s="1601" t="s">
        <v>2317</v>
      </c>
      <c r="H32" s="1602">
        <v>3535</v>
      </c>
      <c r="I32" s="1602" t="s">
        <v>2318</v>
      </c>
      <c r="J32" s="1602" t="s">
        <v>2319</v>
      </c>
      <c r="K32" s="1603" t="s">
        <v>2320</v>
      </c>
      <c r="L32" s="1603" t="s">
        <v>2320</v>
      </c>
      <c r="M32" s="1604">
        <v>3630000</v>
      </c>
      <c r="N32" s="1598" t="s">
        <v>2341</v>
      </c>
    </row>
    <row r="33" spans="1:14" ht="15">
      <c r="A33" s="1597" t="s">
        <v>2316</v>
      </c>
      <c r="B33" s="1598">
        <v>13</v>
      </c>
      <c r="C33" s="1599" t="s">
        <v>2342</v>
      </c>
      <c r="D33" s="1600">
        <v>1</v>
      </c>
      <c r="E33" s="1600">
        <v>10430</v>
      </c>
      <c r="F33" s="1600">
        <v>6000000</v>
      </c>
      <c r="G33" s="1601" t="s">
        <v>2317</v>
      </c>
      <c r="H33" s="1602">
        <v>3535</v>
      </c>
      <c r="I33" s="1602" t="s">
        <v>2318</v>
      </c>
      <c r="J33" s="1602" t="s">
        <v>2319</v>
      </c>
      <c r="K33" s="1603" t="s">
        <v>2320</v>
      </c>
      <c r="L33" s="1603" t="s">
        <v>2320</v>
      </c>
      <c r="M33" s="1604">
        <v>22200000</v>
      </c>
      <c r="N33" s="1598" t="s">
        <v>2343</v>
      </c>
    </row>
    <row r="34" spans="1:14" ht="15">
      <c r="A34" s="1597" t="s">
        <v>2316</v>
      </c>
      <c r="B34" s="1598">
        <v>13</v>
      </c>
      <c r="C34" s="1599" t="s">
        <v>2342</v>
      </c>
      <c r="D34" s="1600">
        <v>1</v>
      </c>
      <c r="E34" s="1600">
        <v>10430</v>
      </c>
      <c r="F34" s="1600">
        <v>6010000</v>
      </c>
      <c r="G34" s="1601" t="s">
        <v>2317</v>
      </c>
      <c r="H34" s="1602">
        <v>3535</v>
      </c>
      <c r="I34" s="1602" t="s">
        <v>2318</v>
      </c>
      <c r="J34" s="1602" t="s">
        <v>2319</v>
      </c>
      <c r="K34" s="1603" t="s">
        <v>2320</v>
      </c>
      <c r="L34" s="1603" t="s">
        <v>2320</v>
      </c>
      <c r="M34" s="1604">
        <v>3720000</v>
      </c>
      <c r="N34" s="1598" t="s">
        <v>2343</v>
      </c>
    </row>
    <row r="35" spans="1:14" ht="15">
      <c r="A35" s="1597" t="s">
        <v>2316</v>
      </c>
      <c r="B35" s="1598">
        <v>13</v>
      </c>
      <c r="C35" s="1599" t="s">
        <v>2342</v>
      </c>
      <c r="D35" s="1600">
        <v>1</v>
      </c>
      <c r="E35" s="1600">
        <v>10430</v>
      </c>
      <c r="F35" s="1600">
        <v>6020000</v>
      </c>
      <c r="G35" s="1601" t="s">
        <v>2317</v>
      </c>
      <c r="H35" s="1602">
        <v>3535</v>
      </c>
      <c r="I35" s="1602" t="s">
        <v>2318</v>
      </c>
      <c r="J35" s="1602" t="s">
        <v>2319</v>
      </c>
      <c r="K35" s="1603" t="s">
        <v>2320</v>
      </c>
      <c r="L35" s="1603" t="s">
        <v>2320</v>
      </c>
      <c r="M35" s="1604">
        <v>13920000</v>
      </c>
      <c r="N35" s="1598" t="s">
        <v>2343</v>
      </c>
    </row>
    <row r="36" spans="1:14" ht="15">
      <c r="A36" s="1598">
        <v>122</v>
      </c>
      <c r="B36" s="1598">
        <v>13</v>
      </c>
      <c r="C36" s="1599" t="s">
        <v>2344</v>
      </c>
      <c r="D36" s="1600">
        <v>1</v>
      </c>
      <c r="E36" s="1600">
        <v>10430</v>
      </c>
      <c r="F36" s="1600">
        <v>6000000</v>
      </c>
      <c r="G36" s="1601" t="s">
        <v>2317</v>
      </c>
      <c r="H36" s="1602">
        <v>1515</v>
      </c>
      <c r="I36" s="1602" t="s">
        <v>2318</v>
      </c>
      <c r="J36" s="1602" t="s">
        <v>2319</v>
      </c>
      <c r="K36" s="1603" t="s">
        <v>2320</v>
      </c>
      <c r="L36" s="1603" t="s">
        <v>2320</v>
      </c>
      <c r="M36" s="1604">
        <v>8900000</v>
      </c>
      <c r="N36" s="1598" t="s">
        <v>2345</v>
      </c>
    </row>
    <row r="37" spans="1:14" ht="15">
      <c r="A37" s="1598">
        <v>122</v>
      </c>
      <c r="B37" s="1598">
        <v>13</v>
      </c>
      <c r="C37" s="1599" t="s">
        <v>2344</v>
      </c>
      <c r="D37" s="1600">
        <v>1</v>
      </c>
      <c r="E37" s="1600">
        <v>10430</v>
      </c>
      <c r="F37" s="1600">
        <v>6010000</v>
      </c>
      <c r="G37" s="1601" t="s">
        <v>2317</v>
      </c>
      <c r="H37" s="1602">
        <v>1515</v>
      </c>
      <c r="I37" s="1602" t="s">
        <v>2318</v>
      </c>
      <c r="J37" s="1602" t="s">
        <v>2319</v>
      </c>
      <c r="K37" s="1603" t="s">
        <v>2320</v>
      </c>
      <c r="L37" s="1603" t="s">
        <v>2320</v>
      </c>
      <c r="M37" s="1604">
        <v>1490000</v>
      </c>
      <c r="N37" s="1598" t="s">
        <v>2345</v>
      </c>
    </row>
    <row r="38" spans="1:14" ht="15">
      <c r="A38" s="1598">
        <v>122</v>
      </c>
      <c r="B38" s="1598">
        <v>13</v>
      </c>
      <c r="C38" s="1599" t="s">
        <v>2344</v>
      </c>
      <c r="D38" s="1600">
        <v>1</v>
      </c>
      <c r="E38" s="1600">
        <v>10430</v>
      </c>
      <c r="F38" s="1600">
        <v>6020000</v>
      </c>
      <c r="G38" s="1601" t="s">
        <v>2317</v>
      </c>
      <c r="H38" s="1602">
        <v>1515</v>
      </c>
      <c r="I38" s="1602" t="s">
        <v>2318</v>
      </c>
      <c r="J38" s="1602" t="s">
        <v>2319</v>
      </c>
      <c r="K38" s="1603" t="s">
        <v>2320</v>
      </c>
      <c r="L38" s="1603" t="s">
        <v>2320</v>
      </c>
      <c r="M38" s="1604">
        <v>4180000</v>
      </c>
      <c r="N38" s="1598" t="s">
        <v>2345</v>
      </c>
    </row>
    <row r="39" spans="1:14" ht="15">
      <c r="A39" s="1598">
        <v>141</v>
      </c>
      <c r="B39" s="1598">
        <v>13</v>
      </c>
      <c r="C39" s="1599" t="s">
        <v>2346</v>
      </c>
      <c r="D39" s="1600">
        <v>1</v>
      </c>
      <c r="E39" s="1600">
        <v>10430</v>
      </c>
      <c r="F39" s="1600">
        <v>6000000</v>
      </c>
      <c r="G39" s="1601" t="s">
        <v>2317</v>
      </c>
      <c r="H39" s="1602">
        <v>3333</v>
      </c>
      <c r="I39" s="1602" t="s">
        <v>2318</v>
      </c>
      <c r="J39" s="1602" t="s">
        <v>2319</v>
      </c>
      <c r="K39" s="1603" t="s">
        <v>2320</v>
      </c>
      <c r="L39" s="1603" t="s">
        <v>2320</v>
      </c>
      <c r="M39" s="1604">
        <v>9690000</v>
      </c>
      <c r="N39" s="1598" t="s">
        <v>2347</v>
      </c>
    </row>
    <row r="40" spans="1:14" ht="15">
      <c r="A40" s="1598">
        <v>141</v>
      </c>
      <c r="B40" s="1598">
        <v>13</v>
      </c>
      <c r="C40" s="1599" t="s">
        <v>2346</v>
      </c>
      <c r="D40" s="1600">
        <v>1</v>
      </c>
      <c r="E40" s="1600">
        <v>10430</v>
      </c>
      <c r="F40" s="1600">
        <v>6010000</v>
      </c>
      <c r="G40" s="1601" t="s">
        <v>2317</v>
      </c>
      <c r="H40" s="1602">
        <v>3333</v>
      </c>
      <c r="I40" s="1602" t="s">
        <v>2318</v>
      </c>
      <c r="J40" s="1602" t="s">
        <v>2319</v>
      </c>
      <c r="K40" s="1603" t="s">
        <v>2320</v>
      </c>
      <c r="L40" s="1603" t="s">
        <v>2320</v>
      </c>
      <c r="M40" s="1604">
        <v>1630000</v>
      </c>
      <c r="N40" s="1598" t="s">
        <v>2347</v>
      </c>
    </row>
    <row r="41" spans="1:14" ht="15">
      <c r="A41" s="1598">
        <v>141</v>
      </c>
      <c r="B41" s="1598">
        <v>13</v>
      </c>
      <c r="C41" s="1599" t="s">
        <v>2346</v>
      </c>
      <c r="D41" s="1600">
        <v>1</v>
      </c>
      <c r="E41" s="1600">
        <v>10430</v>
      </c>
      <c r="F41" s="1600">
        <v>6020000</v>
      </c>
      <c r="G41" s="1601" t="s">
        <v>2317</v>
      </c>
      <c r="H41" s="1602">
        <v>3333</v>
      </c>
      <c r="I41" s="1602" t="s">
        <v>2318</v>
      </c>
      <c r="J41" s="1602" t="s">
        <v>2319</v>
      </c>
      <c r="K41" s="1603" t="s">
        <v>2320</v>
      </c>
      <c r="L41" s="1603" t="s">
        <v>2320</v>
      </c>
      <c r="M41" s="1604">
        <v>5690000</v>
      </c>
      <c r="N41" s="1598" t="s">
        <v>2347</v>
      </c>
    </row>
    <row r="42" spans="1:14" ht="15">
      <c r="A42" s="1598">
        <v>107</v>
      </c>
      <c r="B42" s="1598">
        <v>13</v>
      </c>
      <c r="C42" s="1599" t="s">
        <v>2348</v>
      </c>
      <c r="D42" s="1600">
        <v>1</v>
      </c>
      <c r="E42" s="1600">
        <v>10430</v>
      </c>
      <c r="F42" s="1600">
        <v>6000000</v>
      </c>
      <c r="G42" s="1601" t="s">
        <v>2317</v>
      </c>
      <c r="H42" s="1602" t="s">
        <v>2349</v>
      </c>
      <c r="I42" s="1602" t="s">
        <v>2318</v>
      </c>
      <c r="J42" s="1602" t="s">
        <v>2319</v>
      </c>
      <c r="K42" s="1603" t="s">
        <v>2320</v>
      </c>
      <c r="L42" s="1603" t="s">
        <v>2320</v>
      </c>
      <c r="M42" s="1604">
        <v>16920000</v>
      </c>
      <c r="N42" s="1598" t="s">
        <v>2350</v>
      </c>
    </row>
    <row r="43" spans="1:14" ht="15">
      <c r="A43" s="1598">
        <v>107</v>
      </c>
      <c r="B43" s="1598">
        <v>13</v>
      </c>
      <c r="C43" s="1599" t="s">
        <v>2348</v>
      </c>
      <c r="D43" s="1600">
        <v>1</v>
      </c>
      <c r="E43" s="1600">
        <v>10430</v>
      </c>
      <c r="F43" s="1600">
        <v>6010000</v>
      </c>
      <c r="G43" s="1601" t="s">
        <v>2317</v>
      </c>
      <c r="H43" s="1602" t="s">
        <v>2349</v>
      </c>
      <c r="I43" s="1602" t="s">
        <v>2318</v>
      </c>
      <c r="J43" s="1602" t="s">
        <v>2319</v>
      </c>
      <c r="K43" s="1603" t="s">
        <v>2320</v>
      </c>
      <c r="L43" s="1603" t="s">
        <v>2320</v>
      </c>
      <c r="M43" s="1604">
        <v>2830000</v>
      </c>
      <c r="N43" s="1598" t="s">
        <v>2350</v>
      </c>
    </row>
    <row r="44" spans="1:14" ht="15">
      <c r="A44" s="1598">
        <v>107</v>
      </c>
      <c r="B44" s="1598">
        <v>13</v>
      </c>
      <c r="C44" s="1599" t="s">
        <v>2348</v>
      </c>
      <c r="D44" s="1600">
        <v>1</v>
      </c>
      <c r="E44" s="1600">
        <v>10430</v>
      </c>
      <c r="F44" s="1600">
        <v>6020000</v>
      </c>
      <c r="G44" s="1601" t="s">
        <v>2317</v>
      </c>
      <c r="H44" s="1602" t="s">
        <v>2349</v>
      </c>
      <c r="I44" s="1602" t="s">
        <v>2318</v>
      </c>
      <c r="J44" s="1602" t="s">
        <v>2319</v>
      </c>
      <c r="K44" s="1603" t="s">
        <v>2320</v>
      </c>
      <c r="L44" s="1603" t="s">
        <v>2320</v>
      </c>
      <c r="M44" s="1604">
        <v>8300000</v>
      </c>
      <c r="N44" s="1598" t="s">
        <v>2350</v>
      </c>
    </row>
    <row r="45" spans="1:14" ht="15">
      <c r="A45" s="1598">
        <v>146</v>
      </c>
      <c r="B45" s="1598">
        <v>13</v>
      </c>
      <c r="C45" s="1599" t="s">
        <v>2351</v>
      </c>
      <c r="D45" s="1600">
        <v>1</v>
      </c>
      <c r="E45" s="1600">
        <v>10430</v>
      </c>
      <c r="F45" s="1600">
        <v>6000000</v>
      </c>
      <c r="G45" s="1601" t="s">
        <v>2317</v>
      </c>
      <c r="H45" s="1602">
        <v>3737</v>
      </c>
      <c r="I45" s="1602" t="s">
        <v>2318</v>
      </c>
      <c r="J45" s="1602" t="s">
        <v>2319</v>
      </c>
      <c r="K45" s="1603" t="s">
        <v>2320</v>
      </c>
      <c r="L45" s="1603" t="s">
        <v>2320</v>
      </c>
      <c r="M45" s="1604">
        <v>10440000</v>
      </c>
      <c r="N45" s="1598" t="s">
        <v>2352</v>
      </c>
    </row>
    <row r="46" spans="1:14" ht="15">
      <c r="A46" s="1598">
        <v>146</v>
      </c>
      <c r="B46" s="1598">
        <v>13</v>
      </c>
      <c r="C46" s="1599" t="s">
        <v>2351</v>
      </c>
      <c r="D46" s="1600">
        <v>1</v>
      </c>
      <c r="E46" s="1600">
        <v>10430</v>
      </c>
      <c r="F46" s="1600">
        <v>6010000</v>
      </c>
      <c r="G46" s="1601" t="s">
        <v>2317</v>
      </c>
      <c r="H46" s="1602">
        <v>3737</v>
      </c>
      <c r="I46" s="1602" t="s">
        <v>2318</v>
      </c>
      <c r="J46" s="1602" t="s">
        <v>2319</v>
      </c>
      <c r="K46" s="1603" t="s">
        <v>2320</v>
      </c>
      <c r="L46" s="1603" t="s">
        <v>2320</v>
      </c>
      <c r="M46" s="1604">
        <v>1750000</v>
      </c>
      <c r="N46" s="1598" t="s">
        <v>2352</v>
      </c>
    </row>
    <row r="47" spans="1:14" ht="15">
      <c r="A47" s="1598">
        <v>146</v>
      </c>
      <c r="B47" s="1598">
        <v>13</v>
      </c>
      <c r="C47" s="1599" t="s">
        <v>2351</v>
      </c>
      <c r="D47" s="1600">
        <v>1</v>
      </c>
      <c r="E47" s="1600">
        <v>10430</v>
      </c>
      <c r="F47" s="1600">
        <v>6020000</v>
      </c>
      <c r="G47" s="1601" t="s">
        <v>2317</v>
      </c>
      <c r="H47" s="1602">
        <v>3737</v>
      </c>
      <c r="I47" s="1602" t="s">
        <v>2318</v>
      </c>
      <c r="J47" s="1602" t="s">
        <v>2319</v>
      </c>
      <c r="K47" s="1603" t="s">
        <v>2320</v>
      </c>
      <c r="L47" s="1603" t="s">
        <v>2320</v>
      </c>
      <c r="M47" s="1604">
        <v>4500000</v>
      </c>
      <c r="N47" s="1598" t="s">
        <v>2352</v>
      </c>
    </row>
    <row r="48" spans="1:14" ht="15">
      <c r="A48" s="1598">
        <v>101</v>
      </c>
      <c r="B48" s="1598">
        <v>13</v>
      </c>
      <c r="C48" s="1599" t="s">
        <v>2353</v>
      </c>
      <c r="D48" s="1600">
        <v>1</v>
      </c>
      <c r="E48" s="1600">
        <v>10430</v>
      </c>
      <c r="F48" s="1600">
        <v>6000000</v>
      </c>
      <c r="G48" s="1601" t="s">
        <v>2317</v>
      </c>
      <c r="H48" s="1602">
        <v>3535</v>
      </c>
      <c r="I48" s="1602" t="s">
        <v>2318</v>
      </c>
      <c r="J48" s="1602" t="s">
        <v>2319</v>
      </c>
      <c r="K48" s="1603" t="s">
        <v>2320</v>
      </c>
      <c r="L48" s="1603" t="s">
        <v>2320</v>
      </c>
      <c r="M48" s="1604">
        <v>13100000</v>
      </c>
      <c r="N48" s="1598" t="s">
        <v>2354</v>
      </c>
    </row>
    <row r="49" spans="1:14" ht="15">
      <c r="A49" s="1598">
        <v>101</v>
      </c>
      <c r="B49" s="1598">
        <v>13</v>
      </c>
      <c r="C49" s="1599" t="s">
        <v>2353</v>
      </c>
      <c r="D49" s="1600">
        <v>1</v>
      </c>
      <c r="E49" s="1600">
        <v>10430</v>
      </c>
      <c r="F49" s="1600">
        <v>6010000</v>
      </c>
      <c r="G49" s="1601" t="s">
        <v>2317</v>
      </c>
      <c r="H49" s="1602">
        <v>3535</v>
      </c>
      <c r="I49" s="1602" t="s">
        <v>2318</v>
      </c>
      <c r="J49" s="1602" t="s">
        <v>2319</v>
      </c>
      <c r="K49" s="1603" t="s">
        <v>2320</v>
      </c>
      <c r="L49" s="1603" t="s">
        <v>2320</v>
      </c>
      <c r="M49" s="1604">
        <v>2200000</v>
      </c>
      <c r="N49" s="1598" t="s">
        <v>2354</v>
      </c>
    </row>
    <row r="50" spans="1:14" ht="15">
      <c r="A50" s="1598">
        <v>101</v>
      </c>
      <c r="B50" s="1598">
        <v>13</v>
      </c>
      <c r="C50" s="1599" t="s">
        <v>2353</v>
      </c>
      <c r="D50" s="1600">
        <v>1</v>
      </c>
      <c r="E50" s="1600">
        <v>10430</v>
      </c>
      <c r="F50" s="1600">
        <v>6020000</v>
      </c>
      <c r="G50" s="1601" t="s">
        <v>2317</v>
      </c>
      <c r="H50" s="1602">
        <v>3535</v>
      </c>
      <c r="I50" s="1602" t="s">
        <v>2318</v>
      </c>
      <c r="J50" s="1602" t="s">
        <v>2319</v>
      </c>
      <c r="K50" s="1603" t="s">
        <v>2320</v>
      </c>
      <c r="L50" s="1603" t="s">
        <v>2320</v>
      </c>
      <c r="M50" s="1604">
        <v>12020000</v>
      </c>
      <c r="N50" s="1598" t="s">
        <v>2354</v>
      </c>
    </row>
    <row r="51" spans="1:14" ht="15">
      <c r="A51" s="1597" t="s">
        <v>2316</v>
      </c>
      <c r="B51" s="1598">
        <v>13</v>
      </c>
      <c r="C51" s="1599">
        <v>1013136</v>
      </c>
      <c r="D51" s="1600">
        <v>1</v>
      </c>
      <c r="E51" s="1600">
        <v>10430</v>
      </c>
      <c r="F51" s="1600">
        <v>6000000</v>
      </c>
      <c r="G51" s="1601" t="s">
        <v>2317</v>
      </c>
      <c r="H51" s="1602" t="s">
        <v>2349</v>
      </c>
      <c r="I51" s="1602" t="s">
        <v>2318</v>
      </c>
      <c r="J51" s="1602" t="s">
        <v>2319</v>
      </c>
      <c r="K51" s="1603" t="s">
        <v>2320</v>
      </c>
      <c r="L51" s="1603" t="s">
        <v>2320</v>
      </c>
      <c r="M51" s="1604">
        <v>16740000</v>
      </c>
      <c r="N51" s="1598" t="s">
        <v>2355</v>
      </c>
    </row>
    <row r="52" spans="1:14" ht="15">
      <c r="A52" s="1597" t="s">
        <v>2316</v>
      </c>
      <c r="B52" s="1598">
        <v>13</v>
      </c>
      <c r="C52" s="1599">
        <v>1013136</v>
      </c>
      <c r="D52" s="1600">
        <v>1</v>
      </c>
      <c r="E52" s="1600">
        <v>10430</v>
      </c>
      <c r="F52" s="1600">
        <v>6010000</v>
      </c>
      <c r="G52" s="1601" t="s">
        <v>2317</v>
      </c>
      <c r="H52" s="1602" t="s">
        <v>2349</v>
      </c>
      <c r="I52" s="1602" t="s">
        <v>2318</v>
      </c>
      <c r="J52" s="1602" t="s">
        <v>2319</v>
      </c>
      <c r="K52" s="1603" t="s">
        <v>2320</v>
      </c>
      <c r="L52" s="1603" t="s">
        <v>2320</v>
      </c>
      <c r="M52" s="1604">
        <v>2800000</v>
      </c>
      <c r="N52" s="1598" t="s">
        <v>2355</v>
      </c>
    </row>
    <row r="53" spans="1:14" ht="15">
      <c r="A53" s="1597" t="s">
        <v>2316</v>
      </c>
      <c r="B53" s="1598">
        <v>13</v>
      </c>
      <c r="C53" s="1599">
        <v>1013136</v>
      </c>
      <c r="D53" s="1600">
        <v>1</v>
      </c>
      <c r="E53" s="1600">
        <v>10430</v>
      </c>
      <c r="F53" s="1600">
        <v>6020000</v>
      </c>
      <c r="G53" s="1601" t="s">
        <v>2317</v>
      </c>
      <c r="H53" s="1602" t="s">
        <v>2349</v>
      </c>
      <c r="I53" s="1602" t="s">
        <v>2318</v>
      </c>
      <c r="J53" s="1602" t="s">
        <v>2319</v>
      </c>
      <c r="K53" s="1603" t="s">
        <v>2320</v>
      </c>
      <c r="L53" s="1603" t="s">
        <v>2320</v>
      </c>
      <c r="M53" s="1604">
        <v>14660000</v>
      </c>
      <c r="N53" s="1598" t="s">
        <v>2355</v>
      </c>
    </row>
    <row r="54" spans="1:14" ht="15">
      <c r="A54" s="1598">
        <v>122</v>
      </c>
      <c r="B54" s="1598">
        <v>13</v>
      </c>
      <c r="C54" s="1599" t="s">
        <v>2356</v>
      </c>
      <c r="D54" s="1600">
        <v>1</v>
      </c>
      <c r="E54" s="1600">
        <v>10430</v>
      </c>
      <c r="F54" s="1600">
        <v>6000000</v>
      </c>
      <c r="G54" s="1601" t="s">
        <v>2317</v>
      </c>
      <c r="H54" s="1602">
        <v>1515</v>
      </c>
      <c r="I54" s="1602" t="s">
        <v>2318</v>
      </c>
      <c r="J54" s="1602" t="s">
        <v>2319</v>
      </c>
      <c r="K54" s="1603" t="s">
        <v>2320</v>
      </c>
      <c r="L54" s="1603" t="s">
        <v>2320</v>
      </c>
      <c r="M54" s="1604">
        <v>14130000</v>
      </c>
      <c r="N54" s="1598" t="s">
        <v>2357</v>
      </c>
    </row>
    <row r="55" spans="1:14" ht="15">
      <c r="A55" s="1598">
        <v>122</v>
      </c>
      <c r="B55" s="1598">
        <v>13</v>
      </c>
      <c r="C55" s="1599" t="s">
        <v>2356</v>
      </c>
      <c r="D55" s="1600">
        <v>1</v>
      </c>
      <c r="E55" s="1600">
        <v>10430</v>
      </c>
      <c r="F55" s="1600">
        <v>6010000</v>
      </c>
      <c r="G55" s="1601" t="s">
        <v>2317</v>
      </c>
      <c r="H55" s="1602">
        <v>1515</v>
      </c>
      <c r="I55" s="1602" t="s">
        <v>2318</v>
      </c>
      <c r="J55" s="1602" t="s">
        <v>2319</v>
      </c>
      <c r="K55" s="1603" t="s">
        <v>2320</v>
      </c>
      <c r="L55" s="1603" t="s">
        <v>2320</v>
      </c>
      <c r="M55" s="1604">
        <v>2400000</v>
      </c>
      <c r="N55" s="1598" t="s">
        <v>2357</v>
      </c>
    </row>
    <row r="56" spans="1:14" ht="15">
      <c r="A56" s="1598">
        <v>122</v>
      </c>
      <c r="B56" s="1598">
        <v>13</v>
      </c>
      <c r="C56" s="1599" t="s">
        <v>2356</v>
      </c>
      <c r="D56" s="1600">
        <v>1</v>
      </c>
      <c r="E56" s="1600">
        <v>10430</v>
      </c>
      <c r="F56" s="1600">
        <v>6020000</v>
      </c>
      <c r="G56" s="1601" t="s">
        <v>2317</v>
      </c>
      <c r="H56" s="1602">
        <v>1515</v>
      </c>
      <c r="I56" s="1602" t="s">
        <v>2318</v>
      </c>
      <c r="J56" s="1602" t="s">
        <v>2319</v>
      </c>
      <c r="K56" s="1603" t="s">
        <v>2320</v>
      </c>
      <c r="L56" s="1603" t="s">
        <v>2320</v>
      </c>
      <c r="M56" s="1604">
        <v>13030000</v>
      </c>
      <c r="N56" s="1598" t="s">
        <v>2357</v>
      </c>
    </row>
    <row r="57" spans="1:14" ht="15">
      <c r="A57" s="1598">
        <v>141</v>
      </c>
      <c r="B57" s="1598">
        <v>13</v>
      </c>
      <c r="C57" s="1599" t="s">
        <v>2358</v>
      </c>
      <c r="D57" s="1600">
        <v>1</v>
      </c>
      <c r="E57" s="1600">
        <v>10430</v>
      </c>
      <c r="F57" s="1600">
        <v>6000000</v>
      </c>
      <c r="G57" s="1601" t="s">
        <v>2317</v>
      </c>
      <c r="H57" s="1602">
        <v>3333</v>
      </c>
      <c r="I57" s="1602" t="s">
        <v>2318</v>
      </c>
      <c r="J57" s="1602" t="s">
        <v>2319</v>
      </c>
      <c r="K57" s="1603" t="s">
        <v>2320</v>
      </c>
      <c r="L57" s="1603" t="s">
        <v>2320</v>
      </c>
      <c r="M57" s="1604">
        <v>22800000</v>
      </c>
      <c r="N57" s="1598" t="s">
        <v>2359</v>
      </c>
    </row>
    <row r="58" spans="1:14" ht="15">
      <c r="A58" s="1598">
        <v>141</v>
      </c>
      <c r="B58" s="1598">
        <v>13</v>
      </c>
      <c r="C58" s="1599" t="s">
        <v>2358</v>
      </c>
      <c r="D58" s="1600">
        <v>1</v>
      </c>
      <c r="E58" s="1600">
        <v>10430</v>
      </c>
      <c r="F58" s="1600">
        <v>6010000</v>
      </c>
      <c r="G58" s="1601" t="s">
        <v>2317</v>
      </c>
      <c r="H58" s="1602">
        <v>3333</v>
      </c>
      <c r="I58" s="1602" t="s">
        <v>2318</v>
      </c>
      <c r="J58" s="1602" t="s">
        <v>2319</v>
      </c>
      <c r="K58" s="1603" t="s">
        <v>2320</v>
      </c>
      <c r="L58" s="1603" t="s">
        <v>2320</v>
      </c>
      <c r="M58" s="1604">
        <v>3820000</v>
      </c>
      <c r="N58" s="1598" t="s">
        <v>2359</v>
      </c>
    </row>
    <row r="59" spans="1:14" ht="15">
      <c r="A59" s="1598">
        <v>141</v>
      </c>
      <c r="B59" s="1598">
        <v>13</v>
      </c>
      <c r="C59" s="1599" t="s">
        <v>2358</v>
      </c>
      <c r="D59" s="1600">
        <v>1</v>
      </c>
      <c r="E59" s="1600">
        <v>10430</v>
      </c>
      <c r="F59" s="1600">
        <v>6020000</v>
      </c>
      <c r="G59" s="1601" t="s">
        <v>2317</v>
      </c>
      <c r="H59" s="1602">
        <v>3333</v>
      </c>
      <c r="I59" s="1602" t="s">
        <v>2318</v>
      </c>
      <c r="J59" s="1602" t="s">
        <v>2319</v>
      </c>
      <c r="K59" s="1603" t="s">
        <v>2320</v>
      </c>
      <c r="L59" s="1603" t="s">
        <v>2320</v>
      </c>
      <c r="M59" s="1604">
        <v>19190000</v>
      </c>
      <c r="N59" s="1598" t="s">
        <v>2359</v>
      </c>
    </row>
    <row r="60" spans="1:14" ht="15">
      <c r="A60" s="1598">
        <v>102</v>
      </c>
      <c r="B60" s="1598">
        <v>13</v>
      </c>
      <c r="C60" s="1599" t="s">
        <v>2360</v>
      </c>
      <c r="D60" s="1600">
        <v>1</v>
      </c>
      <c r="E60" s="1600">
        <v>10430</v>
      </c>
      <c r="F60" s="1600">
        <v>6000000</v>
      </c>
      <c r="G60" s="1601" t="s">
        <v>2317</v>
      </c>
      <c r="H60" s="1602" t="s">
        <v>2361</v>
      </c>
      <c r="I60" s="1602" t="s">
        <v>2318</v>
      </c>
      <c r="J60" s="1602" t="s">
        <v>2319</v>
      </c>
      <c r="K60" s="1603" t="s">
        <v>2320</v>
      </c>
      <c r="L60" s="1603" t="s">
        <v>2320</v>
      </c>
      <c r="M60" s="1604">
        <v>13740000</v>
      </c>
      <c r="N60" s="1598" t="s">
        <v>2362</v>
      </c>
    </row>
    <row r="61" spans="1:14" ht="15">
      <c r="A61" s="1598">
        <v>102</v>
      </c>
      <c r="B61" s="1598">
        <v>13</v>
      </c>
      <c r="C61" s="1599" t="s">
        <v>2360</v>
      </c>
      <c r="D61" s="1600">
        <v>1</v>
      </c>
      <c r="E61" s="1600">
        <v>10430</v>
      </c>
      <c r="F61" s="1600">
        <v>6010000</v>
      </c>
      <c r="G61" s="1601" t="s">
        <v>2317</v>
      </c>
      <c r="H61" s="1602" t="s">
        <v>2361</v>
      </c>
      <c r="I61" s="1602" t="s">
        <v>2318</v>
      </c>
      <c r="J61" s="1602" t="s">
        <v>2319</v>
      </c>
      <c r="K61" s="1603" t="s">
        <v>2320</v>
      </c>
      <c r="L61" s="1603" t="s">
        <v>2320</v>
      </c>
      <c r="M61" s="1604">
        <v>2300000</v>
      </c>
      <c r="N61" s="1598" t="s">
        <v>2362</v>
      </c>
    </row>
    <row r="62" spans="1:14" ht="15">
      <c r="A62" s="1598">
        <v>102</v>
      </c>
      <c r="B62" s="1598">
        <v>13</v>
      </c>
      <c r="C62" s="1599" t="s">
        <v>2360</v>
      </c>
      <c r="D62" s="1600">
        <v>1</v>
      </c>
      <c r="E62" s="1600">
        <v>10430</v>
      </c>
      <c r="F62" s="1600">
        <v>6020000</v>
      </c>
      <c r="G62" s="1601" t="s">
        <v>2317</v>
      </c>
      <c r="H62" s="1602" t="s">
        <v>2361</v>
      </c>
      <c r="I62" s="1602" t="s">
        <v>2318</v>
      </c>
      <c r="J62" s="1602" t="s">
        <v>2319</v>
      </c>
      <c r="K62" s="1603" t="s">
        <v>2320</v>
      </c>
      <c r="L62" s="1603" t="s">
        <v>2320</v>
      </c>
      <c r="M62" s="1604">
        <v>8590000</v>
      </c>
      <c r="N62" s="1598" t="s">
        <v>2362</v>
      </c>
    </row>
    <row r="63" spans="1:14" ht="15">
      <c r="A63" s="1598">
        <v>146</v>
      </c>
      <c r="B63" s="1598">
        <v>13</v>
      </c>
      <c r="C63" s="1599" t="s">
        <v>2363</v>
      </c>
      <c r="D63" s="1600">
        <v>1</v>
      </c>
      <c r="E63" s="1600">
        <v>10430</v>
      </c>
      <c r="F63" s="1600">
        <v>6000000</v>
      </c>
      <c r="G63" s="1601" t="s">
        <v>2317</v>
      </c>
      <c r="H63" s="1602">
        <v>3737</v>
      </c>
      <c r="I63" s="1602" t="s">
        <v>2318</v>
      </c>
      <c r="J63" s="1602" t="s">
        <v>2319</v>
      </c>
      <c r="K63" s="1603" t="s">
        <v>2320</v>
      </c>
      <c r="L63" s="1603" t="s">
        <v>2320</v>
      </c>
      <c r="M63" s="1604">
        <v>10460000</v>
      </c>
      <c r="N63" s="1598" t="s">
        <v>2364</v>
      </c>
    </row>
    <row r="64" spans="1:14" ht="15">
      <c r="A64" s="1598">
        <v>146</v>
      </c>
      <c r="B64" s="1598">
        <v>13</v>
      </c>
      <c r="C64" s="1599" t="s">
        <v>2363</v>
      </c>
      <c r="D64" s="1600">
        <v>1</v>
      </c>
      <c r="E64" s="1600">
        <v>10430</v>
      </c>
      <c r="F64" s="1600">
        <v>6010000</v>
      </c>
      <c r="G64" s="1601" t="s">
        <v>2317</v>
      </c>
      <c r="H64" s="1602">
        <v>3737</v>
      </c>
      <c r="I64" s="1602" t="s">
        <v>2318</v>
      </c>
      <c r="J64" s="1602" t="s">
        <v>2319</v>
      </c>
      <c r="K64" s="1603" t="s">
        <v>2320</v>
      </c>
      <c r="L64" s="1603" t="s">
        <v>2320</v>
      </c>
      <c r="M64" s="1604">
        <v>1750000</v>
      </c>
      <c r="N64" s="1598" t="s">
        <v>2364</v>
      </c>
    </row>
    <row r="65" spans="1:14" ht="15">
      <c r="A65" s="1598">
        <v>146</v>
      </c>
      <c r="B65" s="1598">
        <v>13</v>
      </c>
      <c r="C65" s="1599" t="s">
        <v>2363</v>
      </c>
      <c r="D65" s="1600">
        <v>1</v>
      </c>
      <c r="E65" s="1600">
        <v>10430</v>
      </c>
      <c r="F65" s="1600">
        <v>6020000</v>
      </c>
      <c r="G65" s="1601" t="s">
        <v>2317</v>
      </c>
      <c r="H65" s="1602">
        <v>3737</v>
      </c>
      <c r="I65" s="1602" t="s">
        <v>2318</v>
      </c>
      <c r="J65" s="1602" t="s">
        <v>2319</v>
      </c>
      <c r="K65" s="1603" t="s">
        <v>2320</v>
      </c>
      <c r="L65" s="1603" t="s">
        <v>2320</v>
      </c>
      <c r="M65" s="1604">
        <v>7270000</v>
      </c>
      <c r="N65" s="1598" t="s">
        <v>2364</v>
      </c>
    </row>
    <row r="66" spans="1:14" ht="15">
      <c r="A66" s="1598">
        <v>127</v>
      </c>
      <c r="B66" s="1598">
        <v>13</v>
      </c>
      <c r="C66" s="1599" t="s">
        <v>2365</v>
      </c>
      <c r="D66" s="1600">
        <v>1</v>
      </c>
      <c r="E66" s="1600">
        <v>10430</v>
      </c>
      <c r="F66" s="1600">
        <v>6000000</v>
      </c>
      <c r="G66" s="1601" t="s">
        <v>2317</v>
      </c>
      <c r="H66" s="1602">
        <v>2020</v>
      </c>
      <c r="I66" s="1602" t="s">
        <v>2318</v>
      </c>
      <c r="J66" s="1602" t="s">
        <v>2319</v>
      </c>
      <c r="K66" s="1603" t="s">
        <v>2320</v>
      </c>
      <c r="L66" s="1603" t="s">
        <v>2320</v>
      </c>
      <c r="M66" s="1604">
        <v>7260000</v>
      </c>
      <c r="N66" s="1598" t="s">
        <v>2366</v>
      </c>
    </row>
    <row r="67" spans="1:14" ht="15">
      <c r="A67" s="1598">
        <v>127</v>
      </c>
      <c r="B67" s="1598">
        <v>13</v>
      </c>
      <c r="C67" s="1599" t="s">
        <v>2365</v>
      </c>
      <c r="D67" s="1600">
        <v>1</v>
      </c>
      <c r="E67" s="1600">
        <v>10430</v>
      </c>
      <c r="F67" s="1600">
        <v>6010000</v>
      </c>
      <c r="G67" s="1601" t="s">
        <v>2317</v>
      </c>
      <c r="H67" s="1602">
        <v>2020</v>
      </c>
      <c r="I67" s="1602" t="s">
        <v>2318</v>
      </c>
      <c r="J67" s="1602" t="s">
        <v>2319</v>
      </c>
      <c r="K67" s="1603" t="s">
        <v>2320</v>
      </c>
      <c r="L67" s="1603" t="s">
        <v>2320</v>
      </c>
      <c r="M67" s="1604">
        <v>1220000</v>
      </c>
      <c r="N67" s="1598" t="s">
        <v>2366</v>
      </c>
    </row>
    <row r="68" spans="1:14" ht="15">
      <c r="A68" s="1598">
        <v>127</v>
      </c>
      <c r="B68" s="1598">
        <v>13</v>
      </c>
      <c r="C68" s="1599" t="s">
        <v>2365</v>
      </c>
      <c r="D68" s="1600">
        <v>1</v>
      </c>
      <c r="E68" s="1600">
        <v>10430</v>
      </c>
      <c r="F68" s="1600">
        <v>6020000</v>
      </c>
      <c r="G68" s="1601" t="s">
        <v>2317</v>
      </c>
      <c r="H68" s="1602">
        <v>2020</v>
      </c>
      <c r="I68" s="1602" t="s">
        <v>2318</v>
      </c>
      <c r="J68" s="1602" t="s">
        <v>2319</v>
      </c>
      <c r="K68" s="1603" t="s">
        <v>2320</v>
      </c>
      <c r="L68" s="1603" t="s">
        <v>2320</v>
      </c>
      <c r="M68" s="1604">
        <v>2900000</v>
      </c>
      <c r="N68" s="1598" t="s">
        <v>2366</v>
      </c>
    </row>
    <row r="69" spans="1:14" ht="15">
      <c r="A69" s="1598">
        <v>122</v>
      </c>
      <c r="B69" s="1598">
        <v>13</v>
      </c>
      <c r="C69" s="1599" t="s">
        <v>2367</v>
      </c>
      <c r="D69" s="1600">
        <v>1</v>
      </c>
      <c r="E69" s="1600">
        <v>10430</v>
      </c>
      <c r="F69" s="1600">
        <v>6000000</v>
      </c>
      <c r="G69" s="1601" t="s">
        <v>2317</v>
      </c>
      <c r="H69" s="1602">
        <v>1515</v>
      </c>
      <c r="I69" s="1602" t="s">
        <v>2318</v>
      </c>
      <c r="J69" s="1602" t="s">
        <v>2319</v>
      </c>
      <c r="K69" s="1603" t="s">
        <v>2320</v>
      </c>
      <c r="L69" s="1603" t="s">
        <v>2320</v>
      </c>
      <c r="M69" s="1604">
        <v>4340000</v>
      </c>
      <c r="N69" s="1598" t="s">
        <v>2368</v>
      </c>
    </row>
    <row r="70" spans="1:14" ht="15">
      <c r="A70" s="1598">
        <v>122</v>
      </c>
      <c r="B70" s="1598">
        <v>13</v>
      </c>
      <c r="C70" s="1599" t="s">
        <v>2367</v>
      </c>
      <c r="D70" s="1600">
        <v>1</v>
      </c>
      <c r="E70" s="1600">
        <v>10430</v>
      </c>
      <c r="F70" s="1600">
        <v>6010000</v>
      </c>
      <c r="G70" s="1601" t="s">
        <v>2317</v>
      </c>
      <c r="H70" s="1602">
        <v>1515</v>
      </c>
      <c r="I70" s="1602" t="s">
        <v>2318</v>
      </c>
      <c r="J70" s="1602" t="s">
        <v>2319</v>
      </c>
      <c r="K70" s="1603" t="s">
        <v>2320</v>
      </c>
      <c r="L70" s="1603" t="s">
        <v>2320</v>
      </c>
      <c r="M70" s="1604">
        <v>750000</v>
      </c>
      <c r="N70" s="1598" t="s">
        <v>2368</v>
      </c>
    </row>
    <row r="71" spans="1:14" ht="15">
      <c r="A71" s="1598">
        <v>122</v>
      </c>
      <c r="B71" s="1598">
        <v>13</v>
      </c>
      <c r="C71" s="1599" t="s">
        <v>2367</v>
      </c>
      <c r="D71" s="1600">
        <v>1</v>
      </c>
      <c r="E71" s="1600">
        <v>10430</v>
      </c>
      <c r="F71" s="1600">
        <v>6020000</v>
      </c>
      <c r="G71" s="1601" t="s">
        <v>2317</v>
      </c>
      <c r="H71" s="1602">
        <v>1515</v>
      </c>
      <c r="I71" s="1602" t="s">
        <v>2318</v>
      </c>
      <c r="J71" s="1602" t="s">
        <v>2319</v>
      </c>
      <c r="K71" s="1603" t="s">
        <v>2320</v>
      </c>
      <c r="L71" s="1603" t="s">
        <v>2320</v>
      </c>
      <c r="M71" s="1604">
        <v>2440000</v>
      </c>
      <c r="N71" s="1598" t="s">
        <v>2368</v>
      </c>
    </row>
    <row r="72" spans="1:14" ht="15">
      <c r="A72" s="1597" t="s">
        <v>2316</v>
      </c>
      <c r="B72" s="1598">
        <v>13</v>
      </c>
      <c r="C72" s="1599" t="s">
        <v>2369</v>
      </c>
      <c r="D72" s="1600">
        <v>1</v>
      </c>
      <c r="E72" s="1600">
        <v>10430</v>
      </c>
      <c r="F72" s="1600">
        <v>6000000</v>
      </c>
      <c r="G72" s="1601" t="s">
        <v>2317</v>
      </c>
      <c r="H72" s="1602">
        <v>3535</v>
      </c>
      <c r="I72" s="1602" t="s">
        <v>2318</v>
      </c>
      <c r="J72" s="1602" t="s">
        <v>2319</v>
      </c>
      <c r="K72" s="1603" t="s">
        <v>2320</v>
      </c>
      <c r="L72" s="1603" t="s">
        <v>2320</v>
      </c>
      <c r="M72" s="1604">
        <v>10210000</v>
      </c>
      <c r="N72" s="1598" t="s">
        <v>2370</v>
      </c>
    </row>
    <row r="73" spans="1:14" ht="15">
      <c r="A73" s="1597" t="s">
        <v>2316</v>
      </c>
      <c r="B73" s="1598">
        <v>13</v>
      </c>
      <c r="C73" s="1599" t="s">
        <v>2369</v>
      </c>
      <c r="D73" s="1600">
        <v>1</v>
      </c>
      <c r="E73" s="1600">
        <v>10430</v>
      </c>
      <c r="F73" s="1600">
        <v>6010000</v>
      </c>
      <c r="G73" s="1601" t="s">
        <v>2317</v>
      </c>
      <c r="H73" s="1602">
        <v>3535</v>
      </c>
      <c r="I73" s="1602" t="s">
        <v>2318</v>
      </c>
      <c r="J73" s="1602" t="s">
        <v>2319</v>
      </c>
      <c r="K73" s="1603" t="s">
        <v>2320</v>
      </c>
      <c r="L73" s="1603" t="s">
        <v>2320</v>
      </c>
      <c r="M73" s="1604">
        <v>1720000</v>
      </c>
      <c r="N73" s="1598" t="s">
        <v>2370</v>
      </c>
    </row>
    <row r="74" spans="1:14" ht="15">
      <c r="A74" s="1597" t="s">
        <v>2316</v>
      </c>
      <c r="B74" s="1598">
        <v>13</v>
      </c>
      <c r="C74" s="1599" t="s">
        <v>2369</v>
      </c>
      <c r="D74" s="1600">
        <v>1</v>
      </c>
      <c r="E74" s="1600">
        <v>10430</v>
      </c>
      <c r="F74" s="1600">
        <v>6020000</v>
      </c>
      <c r="G74" s="1601" t="s">
        <v>2317</v>
      </c>
      <c r="H74" s="1602">
        <v>3535</v>
      </c>
      <c r="I74" s="1602" t="s">
        <v>2318</v>
      </c>
      <c r="J74" s="1602" t="s">
        <v>2319</v>
      </c>
      <c r="K74" s="1603" t="s">
        <v>2320</v>
      </c>
      <c r="L74" s="1603" t="s">
        <v>2320</v>
      </c>
      <c r="M74" s="1604">
        <v>8200000</v>
      </c>
      <c r="N74" s="1598" t="s">
        <v>2370</v>
      </c>
    </row>
    <row r="75" spans="1:14" ht="15">
      <c r="A75" s="1597" t="s">
        <v>2316</v>
      </c>
      <c r="B75" s="1598">
        <v>13</v>
      </c>
      <c r="C75" s="1599" t="s">
        <v>2371</v>
      </c>
      <c r="D75" s="1600">
        <v>1</v>
      </c>
      <c r="E75" s="1600">
        <v>10430</v>
      </c>
      <c r="F75" s="1600">
        <v>6000000</v>
      </c>
      <c r="G75" s="1601" t="s">
        <v>2317</v>
      </c>
      <c r="H75" s="1602" t="s">
        <v>2372</v>
      </c>
      <c r="I75" s="1602" t="s">
        <v>2318</v>
      </c>
      <c r="J75" s="1602" t="s">
        <v>2319</v>
      </c>
      <c r="K75" s="1603" t="s">
        <v>2320</v>
      </c>
      <c r="L75" s="1603" t="s">
        <v>2320</v>
      </c>
      <c r="M75" s="1604">
        <v>7980000</v>
      </c>
      <c r="N75" s="1598" t="s">
        <v>2373</v>
      </c>
    </row>
    <row r="76" spans="1:14" ht="15">
      <c r="A76" s="1597" t="s">
        <v>2316</v>
      </c>
      <c r="B76" s="1598">
        <v>13</v>
      </c>
      <c r="C76" s="1599" t="s">
        <v>2371</v>
      </c>
      <c r="D76" s="1600">
        <v>1</v>
      </c>
      <c r="E76" s="1600">
        <v>10430</v>
      </c>
      <c r="F76" s="1600">
        <v>6010000</v>
      </c>
      <c r="G76" s="1601" t="s">
        <v>2317</v>
      </c>
      <c r="H76" s="1602" t="s">
        <v>2372</v>
      </c>
      <c r="I76" s="1602" t="s">
        <v>2318</v>
      </c>
      <c r="J76" s="1602" t="s">
        <v>2319</v>
      </c>
      <c r="K76" s="1603" t="s">
        <v>2320</v>
      </c>
      <c r="L76" s="1603" t="s">
        <v>2320</v>
      </c>
      <c r="M76" s="1604">
        <v>1350000</v>
      </c>
      <c r="N76" s="1598" t="s">
        <v>2373</v>
      </c>
    </row>
    <row r="77" spans="1:14" ht="15">
      <c r="A77" s="1597" t="s">
        <v>2316</v>
      </c>
      <c r="B77" s="1598">
        <v>13</v>
      </c>
      <c r="C77" s="1599" t="s">
        <v>2371</v>
      </c>
      <c r="D77" s="1600">
        <v>1</v>
      </c>
      <c r="E77" s="1600">
        <v>10430</v>
      </c>
      <c r="F77" s="1600">
        <v>6020000</v>
      </c>
      <c r="G77" s="1601" t="s">
        <v>2317</v>
      </c>
      <c r="H77" s="1602" t="s">
        <v>2372</v>
      </c>
      <c r="I77" s="1602" t="s">
        <v>2318</v>
      </c>
      <c r="J77" s="1602" t="s">
        <v>2319</v>
      </c>
      <c r="K77" s="1603" t="s">
        <v>2320</v>
      </c>
      <c r="L77" s="1603" t="s">
        <v>2320</v>
      </c>
      <c r="M77" s="1604">
        <v>12000000</v>
      </c>
      <c r="N77" s="1598" t="s">
        <v>2373</v>
      </c>
    </row>
    <row r="78" spans="1:14" ht="15">
      <c r="A78" s="1597" t="s">
        <v>2316</v>
      </c>
      <c r="B78" s="1598">
        <v>13</v>
      </c>
      <c r="C78" s="1599" t="s">
        <v>2374</v>
      </c>
      <c r="D78" s="1600">
        <v>1</v>
      </c>
      <c r="E78" s="1600">
        <v>10430</v>
      </c>
      <c r="F78" s="1600">
        <v>6000000</v>
      </c>
      <c r="G78" s="1601" t="s">
        <v>2317</v>
      </c>
      <c r="H78" s="1602" t="s">
        <v>2372</v>
      </c>
      <c r="I78" s="1602" t="s">
        <v>2318</v>
      </c>
      <c r="J78" s="1602" t="s">
        <v>2319</v>
      </c>
      <c r="K78" s="1603" t="s">
        <v>2320</v>
      </c>
      <c r="L78" s="1603" t="s">
        <v>2320</v>
      </c>
      <c r="M78" s="1604">
        <v>5140000</v>
      </c>
      <c r="N78" s="1598" t="s">
        <v>2375</v>
      </c>
    </row>
    <row r="79" spans="1:14" ht="15">
      <c r="A79" s="1597" t="s">
        <v>2316</v>
      </c>
      <c r="B79" s="1598">
        <v>13</v>
      </c>
      <c r="C79" s="1599" t="s">
        <v>2374</v>
      </c>
      <c r="D79" s="1600">
        <v>1</v>
      </c>
      <c r="E79" s="1600">
        <v>10430</v>
      </c>
      <c r="F79" s="1600">
        <v>6010000</v>
      </c>
      <c r="G79" s="1601" t="s">
        <v>2317</v>
      </c>
      <c r="H79" s="1602" t="s">
        <v>2372</v>
      </c>
      <c r="I79" s="1602" t="s">
        <v>2318</v>
      </c>
      <c r="J79" s="1602" t="s">
        <v>2319</v>
      </c>
      <c r="K79" s="1603" t="s">
        <v>2320</v>
      </c>
      <c r="L79" s="1603" t="s">
        <v>2320</v>
      </c>
      <c r="M79" s="1604">
        <v>900000</v>
      </c>
      <c r="N79" s="1598" t="s">
        <v>2375</v>
      </c>
    </row>
    <row r="80" spans="1:14" ht="15">
      <c r="A80" s="1597" t="s">
        <v>2316</v>
      </c>
      <c r="B80" s="1598">
        <v>13</v>
      </c>
      <c r="C80" s="1599" t="s">
        <v>2374</v>
      </c>
      <c r="D80" s="1600">
        <v>1</v>
      </c>
      <c r="E80" s="1600">
        <v>10430</v>
      </c>
      <c r="F80" s="1600">
        <v>6020000</v>
      </c>
      <c r="G80" s="1601" t="s">
        <v>2317</v>
      </c>
      <c r="H80" s="1602" t="s">
        <v>2372</v>
      </c>
      <c r="I80" s="1602" t="s">
        <v>2318</v>
      </c>
      <c r="J80" s="1602" t="s">
        <v>2319</v>
      </c>
      <c r="K80" s="1603" t="s">
        <v>2320</v>
      </c>
      <c r="L80" s="1603" t="s">
        <v>2320</v>
      </c>
      <c r="M80" s="1604">
        <v>6980000</v>
      </c>
      <c r="N80" s="1598" t="s">
        <v>2375</v>
      </c>
    </row>
    <row r="81" spans="1:14" ht="15">
      <c r="A81" s="1597" t="s">
        <v>2316</v>
      </c>
      <c r="B81" s="1598">
        <v>13</v>
      </c>
      <c r="C81" s="1599" t="s">
        <v>2376</v>
      </c>
      <c r="D81" s="1600">
        <v>1</v>
      </c>
      <c r="E81" s="1600">
        <v>10430</v>
      </c>
      <c r="F81" s="1600">
        <v>6000000</v>
      </c>
      <c r="G81" s="1601" t="s">
        <v>2317</v>
      </c>
      <c r="H81" s="1602">
        <v>3333</v>
      </c>
      <c r="I81" s="1602" t="s">
        <v>2318</v>
      </c>
      <c r="J81" s="1602" t="s">
        <v>2319</v>
      </c>
      <c r="K81" s="1603" t="s">
        <v>2320</v>
      </c>
      <c r="L81" s="1603" t="s">
        <v>2320</v>
      </c>
      <c r="M81" s="1604">
        <v>9160000</v>
      </c>
      <c r="N81" s="1598" t="s">
        <v>2377</v>
      </c>
    </row>
    <row r="82" spans="1:14" ht="15">
      <c r="A82" s="1597" t="s">
        <v>2316</v>
      </c>
      <c r="B82" s="1598">
        <v>13</v>
      </c>
      <c r="C82" s="1599" t="s">
        <v>2376</v>
      </c>
      <c r="D82" s="1600">
        <v>1</v>
      </c>
      <c r="E82" s="1600">
        <v>10430</v>
      </c>
      <c r="F82" s="1600">
        <v>6010000</v>
      </c>
      <c r="G82" s="1601" t="s">
        <v>2317</v>
      </c>
      <c r="H82" s="1602">
        <v>3333</v>
      </c>
      <c r="I82" s="1602" t="s">
        <v>2318</v>
      </c>
      <c r="J82" s="1602" t="s">
        <v>2319</v>
      </c>
      <c r="K82" s="1603" t="s">
        <v>2320</v>
      </c>
      <c r="L82" s="1603" t="s">
        <v>2320</v>
      </c>
      <c r="M82" s="1604">
        <v>1530000</v>
      </c>
      <c r="N82" s="1598" t="s">
        <v>2377</v>
      </c>
    </row>
    <row r="83" spans="1:14" ht="15">
      <c r="A83" s="1597" t="s">
        <v>2316</v>
      </c>
      <c r="B83" s="1598">
        <v>13</v>
      </c>
      <c r="C83" s="1599" t="s">
        <v>2376</v>
      </c>
      <c r="D83" s="1600">
        <v>1</v>
      </c>
      <c r="E83" s="1600">
        <v>10430</v>
      </c>
      <c r="F83" s="1600">
        <v>6020000</v>
      </c>
      <c r="G83" s="1601" t="s">
        <v>2317</v>
      </c>
      <c r="H83" s="1602">
        <v>3333</v>
      </c>
      <c r="I83" s="1602" t="s">
        <v>2318</v>
      </c>
      <c r="J83" s="1602" t="s">
        <v>2319</v>
      </c>
      <c r="K83" s="1603" t="s">
        <v>2320</v>
      </c>
      <c r="L83" s="1603" t="s">
        <v>2320</v>
      </c>
      <c r="M83" s="1604">
        <v>3330000</v>
      </c>
      <c r="N83" s="1598" t="s">
        <v>2377</v>
      </c>
    </row>
    <row r="84" spans="1:14" ht="15">
      <c r="A84" s="1598">
        <v>141</v>
      </c>
      <c r="B84" s="1598">
        <v>13</v>
      </c>
      <c r="C84" s="1599" t="s">
        <v>2378</v>
      </c>
      <c r="D84" s="1600">
        <v>1</v>
      </c>
      <c r="E84" s="1600">
        <v>10430</v>
      </c>
      <c r="F84" s="1600">
        <v>6000000</v>
      </c>
      <c r="G84" s="1601" t="s">
        <v>2317</v>
      </c>
      <c r="H84" s="1602">
        <v>3333</v>
      </c>
      <c r="I84" s="1602" t="s">
        <v>2318</v>
      </c>
      <c r="J84" s="1602" t="s">
        <v>2319</v>
      </c>
      <c r="K84" s="1603" t="s">
        <v>2320</v>
      </c>
      <c r="L84" s="1603" t="s">
        <v>2320</v>
      </c>
      <c r="M84" s="1604">
        <v>14560000</v>
      </c>
      <c r="N84" s="1598" t="s">
        <v>2379</v>
      </c>
    </row>
    <row r="85" spans="1:14" ht="15">
      <c r="A85" s="1598">
        <v>141</v>
      </c>
      <c r="B85" s="1598">
        <v>13</v>
      </c>
      <c r="C85" s="1599" t="s">
        <v>2378</v>
      </c>
      <c r="D85" s="1600">
        <v>1</v>
      </c>
      <c r="E85" s="1600">
        <v>10430</v>
      </c>
      <c r="F85" s="1600">
        <v>6010000</v>
      </c>
      <c r="G85" s="1601" t="s">
        <v>2317</v>
      </c>
      <c r="H85" s="1602">
        <v>3333</v>
      </c>
      <c r="I85" s="1602" t="s">
        <v>2318</v>
      </c>
      <c r="J85" s="1602" t="s">
        <v>2319</v>
      </c>
      <c r="K85" s="1603" t="s">
        <v>2320</v>
      </c>
      <c r="L85" s="1603" t="s">
        <v>2320</v>
      </c>
      <c r="M85" s="1604">
        <v>2440000</v>
      </c>
      <c r="N85" s="1598" t="s">
        <v>2379</v>
      </c>
    </row>
    <row r="86" spans="1:14" ht="15">
      <c r="A86" s="1598">
        <v>141</v>
      </c>
      <c r="B86" s="1598">
        <v>13</v>
      </c>
      <c r="C86" s="1599" t="s">
        <v>2378</v>
      </c>
      <c r="D86" s="1600">
        <v>1</v>
      </c>
      <c r="E86" s="1600">
        <v>10430</v>
      </c>
      <c r="F86" s="1600">
        <v>6020000</v>
      </c>
      <c r="G86" s="1601" t="s">
        <v>2317</v>
      </c>
      <c r="H86" s="1602">
        <v>3333</v>
      </c>
      <c r="I86" s="1602" t="s">
        <v>2318</v>
      </c>
      <c r="J86" s="1602" t="s">
        <v>2319</v>
      </c>
      <c r="K86" s="1603" t="s">
        <v>2320</v>
      </c>
      <c r="L86" s="1603" t="s">
        <v>2320</v>
      </c>
      <c r="M86" s="1604">
        <v>9390000</v>
      </c>
      <c r="N86" s="1598" t="s">
        <v>2379</v>
      </c>
    </row>
    <row r="87" spans="1:14" ht="15">
      <c r="A87" s="1597" t="s">
        <v>2316</v>
      </c>
      <c r="B87" s="1598">
        <v>13</v>
      </c>
      <c r="C87" s="1599" t="s">
        <v>2380</v>
      </c>
      <c r="D87" s="1600">
        <v>1</v>
      </c>
      <c r="E87" s="1600">
        <v>10430</v>
      </c>
      <c r="F87" s="1600">
        <v>6000000</v>
      </c>
      <c r="G87" s="1601" t="s">
        <v>2317</v>
      </c>
      <c r="H87" s="1602">
        <v>3535</v>
      </c>
      <c r="I87" s="1602" t="s">
        <v>2318</v>
      </c>
      <c r="J87" s="1602" t="s">
        <v>2319</v>
      </c>
      <c r="K87" s="1603" t="s">
        <v>2320</v>
      </c>
      <c r="L87" s="1603" t="s">
        <v>2320</v>
      </c>
      <c r="M87" s="1604">
        <v>20420000</v>
      </c>
      <c r="N87" s="1598" t="s">
        <v>2381</v>
      </c>
    </row>
    <row r="88" spans="1:14" ht="15">
      <c r="A88" s="1597" t="s">
        <v>2316</v>
      </c>
      <c r="B88" s="1598">
        <v>13</v>
      </c>
      <c r="C88" s="1599" t="s">
        <v>2380</v>
      </c>
      <c r="D88" s="1600">
        <v>1</v>
      </c>
      <c r="E88" s="1600">
        <v>10430</v>
      </c>
      <c r="F88" s="1600">
        <v>6010000</v>
      </c>
      <c r="G88" s="1601" t="s">
        <v>2317</v>
      </c>
      <c r="H88" s="1602">
        <v>3535</v>
      </c>
      <c r="I88" s="1602" t="s">
        <v>2318</v>
      </c>
      <c r="J88" s="1602" t="s">
        <v>2319</v>
      </c>
      <c r="K88" s="1603" t="s">
        <v>2320</v>
      </c>
      <c r="L88" s="1603" t="s">
        <v>2320</v>
      </c>
      <c r="M88" s="1604">
        <v>3420000</v>
      </c>
      <c r="N88" s="1598" t="s">
        <v>2381</v>
      </c>
    </row>
    <row r="89" spans="1:14" ht="15">
      <c r="A89" s="1597" t="s">
        <v>2316</v>
      </c>
      <c r="B89" s="1598">
        <v>13</v>
      </c>
      <c r="C89" s="1599" t="s">
        <v>2380</v>
      </c>
      <c r="D89" s="1600">
        <v>1</v>
      </c>
      <c r="E89" s="1600">
        <v>10430</v>
      </c>
      <c r="F89" s="1600">
        <v>6020000</v>
      </c>
      <c r="G89" s="1601" t="s">
        <v>2317</v>
      </c>
      <c r="H89" s="1602">
        <v>3535</v>
      </c>
      <c r="I89" s="1602" t="s">
        <v>2318</v>
      </c>
      <c r="J89" s="1602" t="s">
        <v>2319</v>
      </c>
      <c r="K89" s="1603" t="s">
        <v>2320</v>
      </c>
      <c r="L89" s="1603" t="s">
        <v>2320</v>
      </c>
      <c r="M89" s="1604">
        <v>18000000</v>
      </c>
      <c r="N89" s="1598" t="s">
        <v>2381</v>
      </c>
    </row>
    <row r="90" spans="1:14" ht="15">
      <c r="A90" s="1598">
        <v>138</v>
      </c>
      <c r="B90" s="1598">
        <v>13</v>
      </c>
      <c r="C90" s="1599" t="s">
        <v>2382</v>
      </c>
      <c r="D90" s="1600">
        <v>1</v>
      </c>
      <c r="E90" s="1600">
        <v>10430</v>
      </c>
      <c r="F90" s="1600">
        <v>6000000</v>
      </c>
      <c r="G90" s="1601" t="s">
        <v>2317</v>
      </c>
      <c r="H90" s="1602">
        <v>3731</v>
      </c>
      <c r="I90" s="1602" t="s">
        <v>2318</v>
      </c>
      <c r="J90" s="1602" t="s">
        <v>2319</v>
      </c>
      <c r="K90" s="1603" t="s">
        <v>2320</v>
      </c>
      <c r="L90" s="1603" t="s">
        <v>2320</v>
      </c>
      <c r="M90" s="1604">
        <v>13330000</v>
      </c>
      <c r="N90" s="1598" t="s">
        <v>2383</v>
      </c>
    </row>
    <row r="91" spans="1:14" ht="15">
      <c r="A91" s="1598">
        <v>138</v>
      </c>
      <c r="B91" s="1598">
        <v>13</v>
      </c>
      <c r="C91" s="1599" t="s">
        <v>2382</v>
      </c>
      <c r="D91" s="1600">
        <v>1</v>
      </c>
      <c r="E91" s="1600">
        <v>10430</v>
      </c>
      <c r="F91" s="1600">
        <v>6010000</v>
      </c>
      <c r="G91" s="1601" t="s">
        <v>2317</v>
      </c>
      <c r="H91" s="1602">
        <v>3731</v>
      </c>
      <c r="I91" s="1602" t="s">
        <v>2318</v>
      </c>
      <c r="J91" s="1602" t="s">
        <v>2319</v>
      </c>
      <c r="K91" s="1603" t="s">
        <v>2320</v>
      </c>
      <c r="L91" s="1603" t="s">
        <v>2320</v>
      </c>
      <c r="M91" s="1604">
        <v>2230000</v>
      </c>
      <c r="N91" s="1598" t="s">
        <v>2383</v>
      </c>
    </row>
    <row r="92" spans="1:14" ht="15">
      <c r="A92" s="1598">
        <v>138</v>
      </c>
      <c r="B92" s="1598">
        <v>13</v>
      </c>
      <c r="C92" s="1599" t="s">
        <v>2382</v>
      </c>
      <c r="D92" s="1600">
        <v>1</v>
      </c>
      <c r="E92" s="1600">
        <v>10430</v>
      </c>
      <c r="F92" s="1600">
        <v>6020000</v>
      </c>
      <c r="G92" s="1601" t="s">
        <v>2317</v>
      </c>
      <c r="H92" s="1602">
        <v>3731</v>
      </c>
      <c r="I92" s="1602" t="s">
        <v>2318</v>
      </c>
      <c r="J92" s="1602" t="s">
        <v>2319</v>
      </c>
      <c r="K92" s="1603" t="s">
        <v>2320</v>
      </c>
      <c r="L92" s="1603" t="s">
        <v>2320</v>
      </c>
      <c r="M92" s="1604">
        <v>10150000</v>
      </c>
      <c r="N92" s="1598" t="s">
        <v>2383</v>
      </c>
    </row>
    <row r="93" spans="1:14" ht="15">
      <c r="A93" s="1597" t="s">
        <v>2316</v>
      </c>
      <c r="B93" s="1598">
        <v>13</v>
      </c>
      <c r="C93" s="1599" t="s">
        <v>2384</v>
      </c>
      <c r="D93" s="1600">
        <v>1</v>
      </c>
      <c r="E93" s="1600">
        <v>10430</v>
      </c>
      <c r="F93" s="1600">
        <v>6000000</v>
      </c>
      <c r="G93" s="1601" t="s">
        <v>2317</v>
      </c>
      <c r="H93" s="1602">
        <v>3535</v>
      </c>
      <c r="I93" s="1602" t="s">
        <v>2318</v>
      </c>
      <c r="J93" s="1602" t="s">
        <v>2319</v>
      </c>
      <c r="K93" s="1603" t="s">
        <v>2320</v>
      </c>
      <c r="L93" s="1603" t="s">
        <v>2320</v>
      </c>
      <c r="M93" s="1604">
        <v>35920000</v>
      </c>
      <c r="N93" s="1598" t="s">
        <v>2385</v>
      </c>
    </row>
    <row r="94" spans="1:14" ht="15">
      <c r="A94" s="1597" t="s">
        <v>2316</v>
      </c>
      <c r="B94" s="1598">
        <v>13</v>
      </c>
      <c r="C94" s="1599" t="s">
        <v>2384</v>
      </c>
      <c r="D94" s="1600">
        <v>1</v>
      </c>
      <c r="E94" s="1600">
        <v>10430</v>
      </c>
      <c r="F94" s="1600">
        <v>6010000</v>
      </c>
      <c r="G94" s="1601" t="s">
        <v>2317</v>
      </c>
      <c r="H94" s="1602" t="s">
        <v>2372</v>
      </c>
      <c r="I94" s="1602" t="s">
        <v>2318</v>
      </c>
      <c r="J94" s="1602" t="s">
        <v>2319</v>
      </c>
      <c r="K94" s="1603" t="s">
        <v>2320</v>
      </c>
      <c r="L94" s="1603" t="s">
        <v>2320</v>
      </c>
      <c r="M94" s="1604">
        <v>13970000</v>
      </c>
      <c r="N94" s="1598" t="s">
        <v>2385</v>
      </c>
    </row>
    <row r="95" spans="1:14" ht="15">
      <c r="A95" s="1597" t="s">
        <v>2316</v>
      </c>
      <c r="B95" s="1598">
        <v>13</v>
      </c>
      <c r="C95" s="1599" t="s">
        <v>2384</v>
      </c>
      <c r="D95" s="1600">
        <v>1</v>
      </c>
      <c r="E95" s="1600">
        <v>10430</v>
      </c>
      <c r="F95" s="1600">
        <v>6020000</v>
      </c>
      <c r="G95" s="1601" t="s">
        <v>2317</v>
      </c>
      <c r="H95" s="1602">
        <v>3535</v>
      </c>
      <c r="I95" s="1602" t="s">
        <v>2318</v>
      </c>
      <c r="J95" s="1602" t="s">
        <v>2319</v>
      </c>
      <c r="K95" s="1603" t="s">
        <v>2320</v>
      </c>
      <c r="L95" s="1603" t="s">
        <v>2320</v>
      </c>
      <c r="M95" s="1604">
        <v>14000000</v>
      </c>
      <c r="N95" s="1598" t="s">
        <v>2385</v>
      </c>
    </row>
    <row r="96" spans="1:14" ht="15">
      <c r="A96" s="1597" t="s">
        <v>2316</v>
      </c>
      <c r="B96" s="1598">
        <v>13</v>
      </c>
      <c r="C96" s="1599" t="s">
        <v>2384</v>
      </c>
      <c r="D96" s="1600">
        <v>1</v>
      </c>
      <c r="E96" s="1600">
        <v>10430</v>
      </c>
      <c r="F96" s="1600">
        <v>6060000</v>
      </c>
      <c r="G96" s="1601" t="s">
        <v>2317</v>
      </c>
      <c r="H96" s="1602">
        <v>3535</v>
      </c>
      <c r="I96" s="1602" t="s">
        <v>2386</v>
      </c>
      <c r="J96" s="1602" t="s">
        <v>2319</v>
      </c>
      <c r="K96" s="1603" t="s">
        <v>2320</v>
      </c>
      <c r="L96" s="1603" t="s">
        <v>2320</v>
      </c>
      <c r="M96" s="1606">
        <v>2000000000</v>
      </c>
      <c r="N96" s="1598" t="s">
        <v>2385</v>
      </c>
    </row>
    <row r="97" spans="1:14" ht="15">
      <c r="A97" s="1597" t="s">
        <v>2316</v>
      </c>
      <c r="B97" s="1598">
        <v>13</v>
      </c>
      <c r="C97" s="1599" t="s">
        <v>2384</v>
      </c>
      <c r="D97" s="1600">
        <v>1</v>
      </c>
      <c r="E97" s="1600">
        <v>10430</v>
      </c>
      <c r="F97" s="1600">
        <v>6060000</v>
      </c>
      <c r="G97" s="1601" t="s">
        <v>2317</v>
      </c>
      <c r="H97" s="1602">
        <v>3535</v>
      </c>
      <c r="I97" s="1602" t="s">
        <v>2387</v>
      </c>
      <c r="J97" s="1602" t="s">
        <v>2319</v>
      </c>
      <c r="K97" s="1603" t="s">
        <v>2320</v>
      </c>
      <c r="L97" s="1603" t="s">
        <v>2320</v>
      </c>
      <c r="M97" s="1604">
        <v>3837000000</v>
      </c>
      <c r="N97" s="1598" t="s">
        <v>2385</v>
      </c>
    </row>
    <row r="98" spans="1:14" ht="15">
      <c r="A98" s="1597" t="s">
        <v>2316</v>
      </c>
      <c r="B98" s="1598">
        <v>13</v>
      </c>
      <c r="C98" s="1599" t="s">
        <v>2384</v>
      </c>
      <c r="D98" s="1600">
        <v>1</v>
      </c>
      <c r="E98" s="1600">
        <v>10430</v>
      </c>
      <c r="F98" s="1600">
        <v>6060000</v>
      </c>
      <c r="G98" s="1601" t="s">
        <v>2317</v>
      </c>
      <c r="H98" s="1602">
        <v>3535</v>
      </c>
      <c r="I98" s="1602" t="s">
        <v>2388</v>
      </c>
      <c r="J98" s="1602" t="s">
        <v>2319</v>
      </c>
      <c r="K98" s="1603" t="s">
        <v>2320</v>
      </c>
      <c r="L98" s="1603" t="s">
        <v>2320</v>
      </c>
      <c r="M98" s="1604">
        <v>13032000000</v>
      </c>
      <c r="N98" s="1598" t="s">
        <v>2385</v>
      </c>
    </row>
    <row r="99" spans="1:14" ht="15">
      <c r="A99" s="1597" t="s">
        <v>2316</v>
      </c>
      <c r="B99" s="1598">
        <v>13</v>
      </c>
      <c r="C99" s="1599" t="s">
        <v>2389</v>
      </c>
      <c r="D99" s="1600">
        <v>1</v>
      </c>
      <c r="E99" s="1600">
        <v>10430</v>
      </c>
      <c r="F99" s="1600">
        <v>6000000</v>
      </c>
      <c r="G99" s="1601" t="s">
        <v>2317</v>
      </c>
      <c r="H99" s="1602" t="s">
        <v>2361</v>
      </c>
      <c r="I99" s="1602" t="s">
        <v>2318</v>
      </c>
      <c r="J99" s="1602" t="s">
        <v>2319</v>
      </c>
      <c r="K99" s="1603" t="s">
        <v>2320</v>
      </c>
      <c r="L99" s="1603" t="s">
        <v>2320</v>
      </c>
      <c r="M99" s="1604">
        <v>5300000</v>
      </c>
      <c r="N99" s="1598" t="s">
        <v>2390</v>
      </c>
    </row>
    <row r="100" spans="1:14" ht="15">
      <c r="A100" s="1597" t="s">
        <v>2316</v>
      </c>
      <c r="B100" s="1598">
        <v>13</v>
      </c>
      <c r="C100" s="1599" t="s">
        <v>2389</v>
      </c>
      <c r="D100" s="1600">
        <v>1</v>
      </c>
      <c r="E100" s="1600">
        <v>10430</v>
      </c>
      <c r="F100" s="1600">
        <v>6010000</v>
      </c>
      <c r="G100" s="1601" t="s">
        <v>2317</v>
      </c>
      <c r="H100" s="1602" t="s">
        <v>2361</v>
      </c>
      <c r="I100" s="1602" t="s">
        <v>2318</v>
      </c>
      <c r="J100" s="1602" t="s">
        <v>2319</v>
      </c>
      <c r="K100" s="1603" t="s">
        <v>2320</v>
      </c>
      <c r="L100" s="1603" t="s">
        <v>2320</v>
      </c>
      <c r="M100" s="1604">
        <v>900000</v>
      </c>
      <c r="N100" s="1598" t="s">
        <v>2390</v>
      </c>
    </row>
    <row r="101" spans="1:14" ht="15">
      <c r="A101" s="1597" t="s">
        <v>2316</v>
      </c>
      <c r="B101" s="1598">
        <v>13</v>
      </c>
      <c r="C101" s="1599" t="s">
        <v>2389</v>
      </c>
      <c r="D101" s="1600">
        <v>1</v>
      </c>
      <c r="E101" s="1600">
        <v>10430</v>
      </c>
      <c r="F101" s="1600">
        <v>6020000</v>
      </c>
      <c r="G101" s="1601" t="s">
        <v>2317</v>
      </c>
      <c r="H101" s="1602" t="s">
        <v>2361</v>
      </c>
      <c r="I101" s="1602" t="s">
        <v>2318</v>
      </c>
      <c r="J101" s="1602" t="s">
        <v>2319</v>
      </c>
      <c r="K101" s="1603" t="s">
        <v>2320</v>
      </c>
      <c r="L101" s="1603" t="s">
        <v>2320</v>
      </c>
      <c r="M101" s="1604">
        <v>1320000</v>
      </c>
      <c r="N101" s="1598" t="s">
        <v>2390</v>
      </c>
    </row>
    <row r="102" spans="1:14" ht="15">
      <c r="A102" s="1597" t="s">
        <v>2316</v>
      </c>
      <c r="B102" s="1598">
        <v>13</v>
      </c>
      <c r="C102" s="1599" t="s">
        <v>2391</v>
      </c>
      <c r="D102" s="1600">
        <v>1</v>
      </c>
      <c r="E102" s="1600">
        <v>10430</v>
      </c>
      <c r="F102" s="1600">
        <v>6000000</v>
      </c>
      <c r="G102" s="1601" t="s">
        <v>2317</v>
      </c>
      <c r="H102" s="1602" t="s">
        <v>2392</v>
      </c>
      <c r="I102" s="1602" t="s">
        <v>2318</v>
      </c>
      <c r="J102" s="1602" t="s">
        <v>2319</v>
      </c>
      <c r="K102" s="1603" t="s">
        <v>2320</v>
      </c>
      <c r="L102" s="1603" t="s">
        <v>2320</v>
      </c>
      <c r="M102" s="1604">
        <v>5950000</v>
      </c>
      <c r="N102" s="1598" t="s">
        <v>2393</v>
      </c>
    </row>
    <row r="103" spans="1:14" ht="15">
      <c r="A103" s="1597" t="s">
        <v>2316</v>
      </c>
      <c r="B103" s="1598">
        <v>13</v>
      </c>
      <c r="C103" s="1599" t="s">
        <v>2391</v>
      </c>
      <c r="D103" s="1600">
        <v>1</v>
      </c>
      <c r="E103" s="1600">
        <v>10430</v>
      </c>
      <c r="F103" s="1600">
        <v>6010000</v>
      </c>
      <c r="G103" s="1601" t="s">
        <v>2317</v>
      </c>
      <c r="H103" s="1602" t="s">
        <v>2392</v>
      </c>
      <c r="I103" s="1602" t="s">
        <v>2318</v>
      </c>
      <c r="J103" s="1602" t="s">
        <v>2319</v>
      </c>
      <c r="K103" s="1603" t="s">
        <v>2320</v>
      </c>
      <c r="L103" s="1603" t="s">
        <v>2320</v>
      </c>
      <c r="M103" s="1604">
        <v>1000000</v>
      </c>
      <c r="N103" s="1598" t="s">
        <v>2393</v>
      </c>
    </row>
    <row r="104" spans="1:14" ht="15">
      <c r="A104" s="1597" t="s">
        <v>2316</v>
      </c>
      <c r="B104" s="1598">
        <v>13</v>
      </c>
      <c r="C104" s="1599" t="s">
        <v>2391</v>
      </c>
      <c r="D104" s="1600">
        <v>1</v>
      </c>
      <c r="E104" s="1600">
        <v>10430</v>
      </c>
      <c r="F104" s="1600">
        <v>6020000</v>
      </c>
      <c r="G104" s="1601" t="s">
        <v>2317</v>
      </c>
      <c r="H104" s="1602" t="s">
        <v>2392</v>
      </c>
      <c r="I104" s="1602" t="s">
        <v>2318</v>
      </c>
      <c r="J104" s="1602" t="s">
        <v>2319</v>
      </c>
      <c r="K104" s="1603" t="s">
        <v>2320</v>
      </c>
      <c r="L104" s="1603" t="s">
        <v>2320</v>
      </c>
      <c r="M104" s="1604">
        <v>2200000</v>
      </c>
      <c r="N104" s="1598" t="s">
        <v>2393</v>
      </c>
    </row>
    <row r="105" spans="1:14" ht="15">
      <c r="A105" s="1597" t="s">
        <v>2316</v>
      </c>
      <c r="B105" s="1598">
        <v>13</v>
      </c>
      <c r="C105" s="1599" t="s">
        <v>2394</v>
      </c>
      <c r="D105" s="1600">
        <v>1</v>
      </c>
      <c r="E105" s="1600">
        <v>10430</v>
      </c>
      <c r="F105" s="1600">
        <v>6000000</v>
      </c>
      <c r="G105" s="1601" t="s">
        <v>2317</v>
      </c>
      <c r="H105" s="1602" t="s">
        <v>2349</v>
      </c>
      <c r="I105" s="1602" t="s">
        <v>2318</v>
      </c>
      <c r="J105" s="1602" t="s">
        <v>2319</v>
      </c>
      <c r="K105" s="1603" t="s">
        <v>2320</v>
      </c>
      <c r="L105" s="1603" t="s">
        <v>2320</v>
      </c>
      <c r="M105" s="1604">
        <v>5000000</v>
      </c>
      <c r="N105" s="1598" t="s">
        <v>2395</v>
      </c>
    </row>
    <row r="106" spans="1:14" ht="15">
      <c r="A106" s="1597" t="s">
        <v>2316</v>
      </c>
      <c r="B106" s="1598">
        <v>13</v>
      </c>
      <c r="C106" s="1599" t="s">
        <v>2394</v>
      </c>
      <c r="D106" s="1600">
        <v>1</v>
      </c>
      <c r="E106" s="1600">
        <v>10430</v>
      </c>
      <c r="F106" s="1600">
        <v>6010000</v>
      </c>
      <c r="G106" s="1601" t="s">
        <v>2317</v>
      </c>
      <c r="H106" s="1602" t="s">
        <v>2349</v>
      </c>
      <c r="I106" s="1602" t="s">
        <v>2318</v>
      </c>
      <c r="J106" s="1602" t="s">
        <v>2319</v>
      </c>
      <c r="K106" s="1603" t="s">
        <v>2320</v>
      </c>
      <c r="L106" s="1603" t="s">
        <v>2320</v>
      </c>
      <c r="M106" s="1604">
        <v>900000</v>
      </c>
      <c r="N106" s="1598" t="s">
        <v>2395</v>
      </c>
    </row>
    <row r="107" spans="1:14" ht="15">
      <c r="A107" s="1597" t="s">
        <v>2316</v>
      </c>
      <c r="B107" s="1598">
        <v>13</v>
      </c>
      <c r="C107" s="1599" t="s">
        <v>2394</v>
      </c>
      <c r="D107" s="1600">
        <v>1</v>
      </c>
      <c r="E107" s="1600">
        <v>10430</v>
      </c>
      <c r="F107" s="1600">
        <v>6020000</v>
      </c>
      <c r="G107" s="1601" t="s">
        <v>2317</v>
      </c>
      <c r="H107" s="1602" t="s">
        <v>2349</v>
      </c>
      <c r="I107" s="1602" t="s">
        <v>2318</v>
      </c>
      <c r="J107" s="1602" t="s">
        <v>2319</v>
      </c>
      <c r="K107" s="1603" t="s">
        <v>2320</v>
      </c>
      <c r="L107" s="1603" t="s">
        <v>2320</v>
      </c>
      <c r="M107" s="1604">
        <v>950000</v>
      </c>
      <c r="N107" s="1598" t="s">
        <v>2395</v>
      </c>
    </row>
    <row r="108" spans="1:14" ht="15">
      <c r="A108" s="1597" t="s">
        <v>2316</v>
      </c>
      <c r="B108" s="1598">
        <v>13</v>
      </c>
      <c r="C108" s="1599" t="s">
        <v>2396</v>
      </c>
      <c r="D108" s="1600">
        <v>1</v>
      </c>
      <c r="E108" s="1600">
        <v>10430</v>
      </c>
      <c r="F108" s="1600">
        <v>6000000</v>
      </c>
      <c r="G108" s="1601" t="s">
        <v>2317</v>
      </c>
      <c r="H108" s="1602" t="s">
        <v>2397</v>
      </c>
      <c r="I108" s="1602" t="s">
        <v>2318</v>
      </c>
      <c r="J108" s="1602" t="s">
        <v>2319</v>
      </c>
      <c r="K108" s="1603" t="s">
        <v>2320</v>
      </c>
      <c r="L108" s="1603" t="s">
        <v>2320</v>
      </c>
      <c r="M108" s="1604">
        <v>6100000</v>
      </c>
      <c r="N108" s="1598" t="s">
        <v>2398</v>
      </c>
    </row>
    <row r="109" spans="1:14" ht="15">
      <c r="A109" s="1597" t="s">
        <v>2316</v>
      </c>
      <c r="B109" s="1598">
        <v>13</v>
      </c>
      <c r="C109" s="1599" t="s">
        <v>2396</v>
      </c>
      <c r="D109" s="1600">
        <v>1</v>
      </c>
      <c r="E109" s="1600">
        <v>10430</v>
      </c>
      <c r="F109" s="1600">
        <v>6010000</v>
      </c>
      <c r="G109" s="1601" t="s">
        <v>2317</v>
      </c>
      <c r="H109" s="1602" t="s">
        <v>2397</v>
      </c>
      <c r="I109" s="1602" t="s">
        <v>2318</v>
      </c>
      <c r="J109" s="1602" t="s">
        <v>2319</v>
      </c>
      <c r="K109" s="1603" t="s">
        <v>2320</v>
      </c>
      <c r="L109" s="1603" t="s">
        <v>2320</v>
      </c>
      <c r="M109" s="1604">
        <v>1020000</v>
      </c>
      <c r="N109" s="1598" t="s">
        <v>2398</v>
      </c>
    </row>
    <row r="110" spans="1:14" ht="15">
      <c r="A110" s="1597" t="s">
        <v>2316</v>
      </c>
      <c r="B110" s="1598">
        <v>13</v>
      </c>
      <c r="C110" s="1599" t="s">
        <v>2396</v>
      </c>
      <c r="D110" s="1600">
        <v>1</v>
      </c>
      <c r="E110" s="1600">
        <v>10430</v>
      </c>
      <c r="F110" s="1600">
        <v>6020000</v>
      </c>
      <c r="G110" s="1601" t="s">
        <v>2317</v>
      </c>
      <c r="H110" s="1602" t="s">
        <v>2397</v>
      </c>
      <c r="I110" s="1602" t="s">
        <v>2318</v>
      </c>
      <c r="J110" s="1602" t="s">
        <v>2319</v>
      </c>
      <c r="K110" s="1603" t="s">
        <v>2320</v>
      </c>
      <c r="L110" s="1603" t="s">
        <v>2320</v>
      </c>
      <c r="M110" s="1604">
        <v>1040000</v>
      </c>
      <c r="N110" s="1598" t="s">
        <v>2398</v>
      </c>
    </row>
    <row r="111" spans="1:14" ht="15">
      <c r="A111" s="1597" t="s">
        <v>2316</v>
      </c>
      <c r="B111" s="1598">
        <v>13</v>
      </c>
      <c r="C111" s="1599" t="s">
        <v>2399</v>
      </c>
      <c r="D111" s="1600">
        <v>1</v>
      </c>
      <c r="E111" s="1600">
        <v>10430</v>
      </c>
      <c r="F111" s="1600">
        <v>6000000</v>
      </c>
      <c r="G111" s="1601" t="s">
        <v>2317</v>
      </c>
      <c r="H111" s="1602" t="s">
        <v>2325</v>
      </c>
      <c r="I111" s="1602" t="s">
        <v>2318</v>
      </c>
      <c r="J111" s="1602" t="s">
        <v>2319</v>
      </c>
      <c r="K111" s="1603" t="s">
        <v>2320</v>
      </c>
      <c r="L111" s="1603" t="s">
        <v>2320</v>
      </c>
      <c r="M111" s="1604">
        <v>5580000</v>
      </c>
      <c r="N111" s="1598" t="s">
        <v>2400</v>
      </c>
    </row>
    <row r="112" spans="1:14" ht="15">
      <c r="A112" s="1597" t="s">
        <v>2316</v>
      </c>
      <c r="B112" s="1598">
        <v>13</v>
      </c>
      <c r="C112" s="1599" t="s">
        <v>2399</v>
      </c>
      <c r="D112" s="1600">
        <v>1</v>
      </c>
      <c r="E112" s="1600">
        <v>10430</v>
      </c>
      <c r="F112" s="1600">
        <v>6010000</v>
      </c>
      <c r="G112" s="1601" t="s">
        <v>2317</v>
      </c>
      <c r="H112" s="1602" t="s">
        <v>2325</v>
      </c>
      <c r="I112" s="1602" t="s">
        <v>2318</v>
      </c>
      <c r="J112" s="1602" t="s">
        <v>2319</v>
      </c>
      <c r="K112" s="1603" t="s">
        <v>2320</v>
      </c>
      <c r="L112" s="1603" t="s">
        <v>2320</v>
      </c>
      <c r="M112" s="1604">
        <v>950000</v>
      </c>
      <c r="N112" s="1598" t="s">
        <v>2400</v>
      </c>
    </row>
    <row r="113" spans="1:14" ht="15">
      <c r="A113" s="1597" t="s">
        <v>2316</v>
      </c>
      <c r="B113" s="1598">
        <v>13</v>
      </c>
      <c r="C113" s="1599" t="s">
        <v>2399</v>
      </c>
      <c r="D113" s="1600">
        <v>1</v>
      </c>
      <c r="E113" s="1600">
        <v>10430</v>
      </c>
      <c r="F113" s="1600">
        <v>6020000</v>
      </c>
      <c r="G113" s="1601" t="s">
        <v>2317</v>
      </c>
      <c r="H113" s="1602" t="s">
        <v>2325</v>
      </c>
      <c r="I113" s="1602" t="s">
        <v>2318</v>
      </c>
      <c r="J113" s="1602" t="s">
        <v>2319</v>
      </c>
      <c r="K113" s="1603" t="s">
        <v>2320</v>
      </c>
      <c r="L113" s="1603" t="s">
        <v>2320</v>
      </c>
      <c r="M113" s="1604">
        <v>1000000</v>
      </c>
      <c r="N113" s="1598" t="s">
        <v>2400</v>
      </c>
    </row>
    <row r="114" spans="1:14" ht="15">
      <c r="A114" s="1597" t="s">
        <v>2316</v>
      </c>
      <c r="B114" s="1598">
        <v>13</v>
      </c>
      <c r="C114" s="1599" t="s">
        <v>2401</v>
      </c>
      <c r="D114" s="1600">
        <v>1</v>
      </c>
      <c r="E114" s="1600">
        <v>10430</v>
      </c>
      <c r="F114" s="1600">
        <v>6000000</v>
      </c>
      <c r="G114" s="1601" t="s">
        <v>2317</v>
      </c>
      <c r="H114" s="1602">
        <v>1111</v>
      </c>
      <c r="I114" s="1602" t="s">
        <v>2318</v>
      </c>
      <c r="J114" s="1602" t="s">
        <v>2319</v>
      </c>
      <c r="K114" s="1603" t="s">
        <v>2320</v>
      </c>
      <c r="L114" s="1603" t="s">
        <v>2320</v>
      </c>
      <c r="M114" s="1604">
        <v>5620000</v>
      </c>
      <c r="N114" s="1598" t="s">
        <v>2402</v>
      </c>
    </row>
    <row r="115" spans="1:14" ht="15">
      <c r="A115" s="1597" t="s">
        <v>2316</v>
      </c>
      <c r="B115" s="1598">
        <v>13</v>
      </c>
      <c r="C115" s="1599" t="s">
        <v>2401</v>
      </c>
      <c r="D115" s="1600">
        <v>1</v>
      </c>
      <c r="E115" s="1600">
        <v>10430</v>
      </c>
      <c r="F115" s="1600">
        <v>6010000</v>
      </c>
      <c r="G115" s="1601" t="s">
        <v>2317</v>
      </c>
      <c r="H115" s="1602">
        <v>1111</v>
      </c>
      <c r="I115" s="1602" t="s">
        <v>2318</v>
      </c>
      <c r="J115" s="1602" t="s">
        <v>2319</v>
      </c>
      <c r="K115" s="1603" t="s">
        <v>2320</v>
      </c>
      <c r="L115" s="1603" t="s">
        <v>2320</v>
      </c>
      <c r="M115" s="1604">
        <v>950000</v>
      </c>
      <c r="N115" s="1598" t="s">
        <v>2402</v>
      </c>
    </row>
    <row r="116" spans="1:14" ht="15">
      <c r="A116" s="1597" t="s">
        <v>2316</v>
      </c>
      <c r="B116" s="1598">
        <v>13</v>
      </c>
      <c r="C116" s="1599" t="s">
        <v>2401</v>
      </c>
      <c r="D116" s="1600">
        <v>1</v>
      </c>
      <c r="E116" s="1600">
        <v>10430</v>
      </c>
      <c r="F116" s="1600">
        <v>6020000</v>
      </c>
      <c r="G116" s="1601" t="s">
        <v>2317</v>
      </c>
      <c r="H116" s="1602">
        <v>1111</v>
      </c>
      <c r="I116" s="1602" t="s">
        <v>2318</v>
      </c>
      <c r="J116" s="1602" t="s">
        <v>2319</v>
      </c>
      <c r="K116" s="1603" t="s">
        <v>2320</v>
      </c>
      <c r="L116" s="1603" t="s">
        <v>2320</v>
      </c>
      <c r="M116" s="1604">
        <v>660000</v>
      </c>
      <c r="N116" s="1598" t="s">
        <v>2402</v>
      </c>
    </row>
    <row r="117" spans="1:14" ht="15">
      <c r="A117" s="1597" t="s">
        <v>2316</v>
      </c>
      <c r="B117" s="1598">
        <v>13</v>
      </c>
      <c r="C117" s="1599" t="s">
        <v>2403</v>
      </c>
      <c r="D117" s="1600">
        <v>1</v>
      </c>
      <c r="E117" s="1600">
        <v>10430</v>
      </c>
      <c r="F117" s="1600">
        <v>6000000</v>
      </c>
      <c r="G117" s="1601" t="s">
        <v>2317</v>
      </c>
      <c r="H117" s="1602">
        <v>1515</v>
      </c>
      <c r="I117" s="1602" t="s">
        <v>2318</v>
      </c>
      <c r="J117" s="1602" t="s">
        <v>2319</v>
      </c>
      <c r="K117" s="1603" t="s">
        <v>2320</v>
      </c>
      <c r="L117" s="1603" t="s">
        <v>2320</v>
      </c>
      <c r="M117" s="1604">
        <v>5590000</v>
      </c>
      <c r="N117" s="1598" t="s">
        <v>2404</v>
      </c>
    </row>
    <row r="118" spans="1:14" ht="15">
      <c r="A118" s="1597" t="s">
        <v>2316</v>
      </c>
      <c r="B118" s="1598">
        <v>13</v>
      </c>
      <c r="C118" s="1599" t="s">
        <v>2403</v>
      </c>
      <c r="D118" s="1600">
        <v>1</v>
      </c>
      <c r="E118" s="1600">
        <v>10430</v>
      </c>
      <c r="F118" s="1600">
        <v>6010000</v>
      </c>
      <c r="G118" s="1601" t="s">
        <v>2317</v>
      </c>
      <c r="H118" s="1602">
        <v>1515</v>
      </c>
      <c r="I118" s="1602" t="s">
        <v>2318</v>
      </c>
      <c r="J118" s="1602" t="s">
        <v>2319</v>
      </c>
      <c r="K118" s="1603" t="s">
        <v>2320</v>
      </c>
      <c r="L118" s="1603" t="s">
        <v>2320</v>
      </c>
      <c r="M118" s="1604">
        <v>950000</v>
      </c>
      <c r="N118" s="1598" t="s">
        <v>2404</v>
      </c>
    </row>
    <row r="119" spans="1:14" ht="15">
      <c r="A119" s="1597" t="s">
        <v>2316</v>
      </c>
      <c r="B119" s="1598">
        <v>13</v>
      </c>
      <c r="C119" s="1599" t="s">
        <v>2403</v>
      </c>
      <c r="D119" s="1600">
        <v>1</v>
      </c>
      <c r="E119" s="1600">
        <v>10430</v>
      </c>
      <c r="F119" s="1600">
        <v>6020000</v>
      </c>
      <c r="G119" s="1601" t="s">
        <v>2317</v>
      </c>
      <c r="H119" s="1602">
        <v>1515</v>
      </c>
      <c r="I119" s="1602" t="s">
        <v>2318</v>
      </c>
      <c r="J119" s="1602" t="s">
        <v>2319</v>
      </c>
      <c r="K119" s="1603" t="s">
        <v>2320</v>
      </c>
      <c r="L119" s="1603" t="s">
        <v>2320</v>
      </c>
      <c r="M119" s="1604">
        <v>850000</v>
      </c>
      <c r="N119" s="1598" t="s">
        <v>2404</v>
      </c>
    </row>
    <row r="120" spans="1:14" ht="15">
      <c r="A120" s="1597" t="s">
        <v>2316</v>
      </c>
      <c r="B120" s="1598">
        <v>13</v>
      </c>
      <c r="C120" s="1599" t="s">
        <v>2405</v>
      </c>
      <c r="D120" s="1600">
        <v>1</v>
      </c>
      <c r="E120" s="1600">
        <v>10430</v>
      </c>
      <c r="F120" s="1600">
        <v>6000000</v>
      </c>
      <c r="G120" s="1601" t="s">
        <v>2317</v>
      </c>
      <c r="H120" s="1602">
        <v>1818</v>
      </c>
      <c r="I120" s="1602" t="s">
        <v>2318</v>
      </c>
      <c r="J120" s="1602" t="s">
        <v>2319</v>
      </c>
      <c r="K120" s="1603" t="s">
        <v>2320</v>
      </c>
      <c r="L120" s="1603" t="s">
        <v>2320</v>
      </c>
      <c r="M120" s="1604">
        <v>5370000</v>
      </c>
      <c r="N120" s="1598" t="s">
        <v>2406</v>
      </c>
    </row>
    <row r="121" spans="1:14" ht="15">
      <c r="A121" s="1597" t="s">
        <v>2316</v>
      </c>
      <c r="B121" s="1598">
        <v>13</v>
      </c>
      <c r="C121" s="1599" t="s">
        <v>2405</v>
      </c>
      <c r="D121" s="1600">
        <v>1</v>
      </c>
      <c r="E121" s="1600">
        <v>10430</v>
      </c>
      <c r="F121" s="1600">
        <v>6010000</v>
      </c>
      <c r="G121" s="1601" t="s">
        <v>2317</v>
      </c>
      <c r="H121" s="1602">
        <v>1818</v>
      </c>
      <c r="I121" s="1602" t="s">
        <v>2318</v>
      </c>
      <c r="J121" s="1602" t="s">
        <v>2319</v>
      </c>
      <c r="K121" s="1603" t="s">
        <v>2320</v>
      </c>
      <c r="L121" s="1603" t="s">
        <v>2320</v>
      </c>
      <c r="M121" s="1604">
        <v>900000</v>
      </c>
      <c r="N121" s="1598" t="s">
        <v>2406</v>
      </c>
    </row>
    <row r="122" spans="1:14" ht="15">
      <c r="A122" s="1597" t="s">
        <v>2316</v>
      </c>
      <c r="B122" s="1598">
        <v>13</v>
      </c>
      <c r="C122" s="1599" t="s">
        <v>2405</v>
      </c>
      <c r="D122" s="1600">
        <v>1</v>
      </c>
      <c r="E122" s="1600">
        <v>10430</v>
      </c>
      <c r="F122" s="1600">
        <v>6020000</v>
      </c>
      <c r="G122" s="1601" t="s">
        <v>2317</v>
      </c>
      <c r="H122" s="1602">
        <v>1818</v>
      </c>
      <c r="I122" s="1602" t="s">
        <v>2318</v>
      </c>
      <c r="J122" s="1602" t="s">
        <v>2319</v>
      </c>
      <c r="K122" s="1603" t="s">
        <v>2320</v>
      </c>
      <c r="L122" s="1603" t="s">
        <v>2320</v>
      </c>
      <c r="M122" s="1604">
        <v>2150000</v>
      </c>
      <c r="N122" s="1598" t="s">
        <v>2406</v>
      </c>
    </row>
    <row r="123" spans="1:14" ht="15">
      <c r="A123" s="1597" t="s">
        <v>2316</v>
      </c>
      <c r="B123" s="1598">
        <v>13</v>
      </c>
      <c r="C123" s="1599" t="s">
        <v>2407</v>
      </c>
      <c r="D123" s="1600">
        <v>1</v>
      </c>
      <c r="E123" s="1600">
        <v>10430</v>
      </c>
      <c r="F123" s="1600">
        <v>6000000</v>
      </c>
      <c r="G123" s="1601" t="s">
        <v>2317</v>
      </c>
      <c r="H123" s="1602">
        <v>2020</v>
      </c>
      <c r="I123" s="1602" t="s">
        <v>2318</v>
      </c>
      <c r="J123" s="1602" t="s">
        <v>2319</v>
      </c>
      <c r="K123" s="1603" t="s">
        <v>2320</v>
      </c>
      <c r="L123" s="1603" t="s">
        <v>2320</v>
      </c>
      <c r="M123" s="1604">
        <v>5180000</v>
      </c>
      <c r="N123" s="1598" t="s">
        <v>2408</v>
      </c>
    </row>
    <row r="124" spans="1:14" ht="15">
      <c r="A124" s="1597" t="s">
        <v>2316</v>
      </c>
      <c r="B124" s="1598">
        <v>13</v>
      </c>
      <c r="C124" s="1599" t="s">
        <v>2407</v>
      </c>
      <c r="D124" s="1600">
        <v>1</v>
      </c>
      <c r="E124" s="1600">
        <v>10430</v>
      </c>
      <c r="F124" s="1600">
        <v>6010000</v>
      </c>
      <c r="G124" s="1601" t="s">
        <v>2317</v>
      </c>
      <c r="H124" s="1602">
        <v>2020</v>
      </c>
      <c r="I124" s="1602" t="s">
        <v>2318</v>
      </c>
      <c r="J124" s="1602" t="s">
        <v>2319</v>
      </c>
      <c r="K124" s="1603" t="s">
        <v>2320</v>
      </c>
      <c r="L124" s="1603" t="s">
        <v>2320</v>
      </c>
      <c r="M124" s="1604">
        <v>900000</v>
      </c>
      <c r="N124" s="1598" t="s">
        <v>2408</v>
      </c>
    </row>
    <row r="125" spans="1:14" ht="15">
      <c r="A125" s="1597" t="s">
        <v>2316</v>
      </c>
      <c r="B125" s="1598">
        <v>13</v>
      </c>
      <c r="C125" s="1599" t="s">
        <v>2407</v>
      </c>
      <c r="D125" s="1600">
        <v>1</v>
      </c>
      <c r="E125" s="1600">
        <v>10430</v>
      </c>
      <c r="F125" s="1600">
        <v>6020000</v>
      </c>
      <c r="G125" s="1601" t="s">
        <v>2317</v>
      </c>
      <c r="H125" s="1602">
        <v>2020</v>
      </c>
      <c r="I125" s="1602" t="s">
        <v>2318</v>
      </c>
      <c r="J125" s="1602" t="s">
        <v>2319</v>
      </c>
      <c r="K125" s="1603" t="s">
        <v>2320</v>
      </c>
      <c r="L125" s="1603" t="s">
        <v>2320</v>
      </c>
      <c r="M125" s="1604">
        <v>1500000</v>
      </c>
      <c r="N125" s="1598" t="s">
        <v>2408</v>
      </c>
    </row>
    <row r="126" spans="1:14" ht="15">
      <c r="A126" s="1597" t="s">
        <v>2316</v>
      </c>
      <c r="B126" s="1598">
        <v>13</v>
      </c>
      <c r="C126" s="1599" t="s">
        <v>2409</v>
      </c>
      <c r="D126" s="1600">
        <v>1</v>
      </c>
      <c r="E126" s="1600">
        <v>10430</v>
      </c>
      <c r="F126" s="1600">
        <v>6000000</v>
      </c>
      <c r="G126" s="1601" t="s">
        <v>2317</v>
      </c>
      <c r="H126" s="1602">
        <v>3333</v>
      </c>
      <c r="I126" s="1602" t="s">
        <v>2318</v>
      </c>
      <c r="J126" s="1602" t="s">
        <v>2319</v>
      </c>
      <c r="K126" s="1603" t="s">
        <v>2320</v>
      </c>
      <c r="L126" s="1603" t="s">
        <v>2320</v>
      </c>
      <c r="M126" s="1604">
        <v>6350000</v>
      </c>
      <c r="N126" s="1598" t="s">
        <v>2410</v>
      </c>
    </row>
    <row r="127" spans="1:14" ht="15">
      <c r="A127" s="1597" t="s">
        <v>2316</v>
      </c>
      <c r="B127" s="1598">
        <v>13</v>
      </c>
      <c r="C127" s="1599" t="s">
        <v>2409</v>
      </c>
      <c r="D127" s="1600">
        <v>1</v>
      </c>
      <c r="E127" s="1600">
        <v>10430</v>
      </c>
      <c r="F127" s="1600">
        <v>6010000</v>
      </c>
      <c r="G127" s="1601" t="s">
        <v>2317</v>
      </c>
      <c r="H127" s="1602">
        <v>3333</v>
      </c>
      <c r="I127" s="1602" t="s">
        <v>2318</v>
      </c>
      <c r="J127" s="1602" t="s">
        <v>2319</v>
      </c>
      <c r="K127" s="1603" t="s">
        <v>2320</v>
      </c>
      <c r="L127" s="1603" t="s">
        <v>2320</v>
      </c>
      <c r="M127" s="1604">
        <v>1100000</v>
      </c>
      <c r="N127" s="1598" t="s">
        <v>2410</v>
      </c>
    </row>
    <row r="128" spans="1:14" ht="15">
      <c r="A128" s="1597" t="s">
        <v>2316</v>
      </c>
      <c r="B128" s="1598">
        <v>13</v>
      </c>
      <c r="C128" s="1599" t="s">
        <v>2409</v>
      </c>
      <c r="D128" s="1600">
        <v>1</v>
      </c>
      <c r="E128" s="1600">
        <v>10430</v>
      </c>
      <c r="F128" s="1600">
        <v>6020000</v>
      </c>
      <c r="G128" s="1601" t="s">
        <v>2317</v>
      </c>
      <c r="H128" s="1602">
        <v>3333</v>
      </c>
      <c r="I128" s="1602" t="s">
        <v>2318</v>
      </c>
      <c r="J128" s="1602" t="s">
        <v>2319</v>
      </c>
      <c r="K128" s="1603" t="s">
        <v>2320</v>
      </c>
      <c r="L128" s="1603" t="s">
        <v>2320</v>
      </c>
      <c r="M128" s="1604">
        <v>1460000</v>
      </c>
      <c r="N128" s="1598" t="s">
        <v>2410</v>
      </c>
    </row>
    <row r="129" spans="1:14" ht="15">
      <c r="A129" s="1597" t="s">
        <v>2316</v>
      </c>
      <c r="B129" s="1598">
        <v>13</v>
      </c>
      <c r="C129" s="1599" t="s">
        <v>2411</v>
      </c>
      <c r="D129" s="1600">
        <v>1</v>
      </c>
      <c r="E129" s="1600">
        <v>10430</v>
      </c>
      <c r="F129" s="1600">
        <v>6000000</v>
      </c>
      <c r="G129" s="1601" t="s">
        <v>2317</v>
      </c>
      <c r="H129" s="1602">
        <v>3737</v>
      </c>
      <c r="I129" s="1602" t="s">
        <v>2318</v>
      </c>
      <c r="J129" s="1602" t="s">
        <v>2319</v>
      </c>
      <c r="K129" s="1603" t="s">
        <v>2320</v>
      </c>
      <c r="L129" s="1603" t="s">
        <v>2320</v>
      </c>
      <c r="M129" s="1604">
        <v>5450000</v>
      </c>
      <c r="N129" s="1598" t="s">
        <v>2412</v>
      </c>
    </row>
    <row r="130" spans="1:14" ht="15">
      <c r="A130" s="1597" t="s">
        <v>2316</v>
      </c>
      <c r="B130" s="1598">
        <v>13</v>
      </c>
      <c r="C130" s="1599" t="s">
        <v>2411</v>
      </c>
      <c r="D130" s="1600">
        <v>1</v>
      </c>
      <c r="E130" s="1600">
        <v>10430</v>
      </c>
      <c r="F130" s="1600">
        <v>6010000</v>
      </c>
      <c r="G130" s="1601" t="s">
        <v>2317</v>
      </c>
      <c r="H130" s="1602">
        <v>3737</v>
      </c>
      <c r="I130" s="1602" t="s">
        <v>2318</v>
      </c>
      <c r="J130" s="1602" t="s">
        <v>2319</v>
      </c>
      <c r="K130" s="1603" t="s">
        <v>2320</v>
      </c>
      <c r="L130" s="1603" t="s">
        <v>2320</v>
      </c>
      <c r="M130" s="1604">
        <v>930000</v>
      </c>
      <c r="N130" s="1598" t="s">
        <v>2412</v>
      </c>
    </row>
    <row r="131" spans="1:14" ht="15">
      <c r="A131" s="1597" t="s">
        <v>2316</v>
      </c>
      <c r="B131" s="1598">
        <v>13</v>
      </c>
      <c r="C131" s="1599" t="s">
        <v>2411</v>
      </c>
      <c r="D131" s="1600">
        <v>1</v>
      </c>
      <c r="E131" s="1600">
        <v>10430</v>
      </c>
      <c r="F131" s="1600">
        <v>6020000</v>
      </c>
      <c r="G131" s="1601" t="s">
        <v>2317</v>
      </c>
      <c r="H131" s="1602">
        <v>3737</v>
      </c>
      <c r="I131" s="1602" t="s">
        <v>2318</v>
      </c>
      <c r="J131" s="1602" t="s">
        <v>2319</v>
      </c>
      <c r="K131" s="1603" t="s">
        <v>2320</v>
      </c>
      <c r="L131" s="1603" t="s">
        <v>2320</v>
      </c>
      <c r="M131" s="1604">
        <v>1220000</v>
      </c>
      <c r="N131" s="1598" t="s">
        <v>2412</v>
      </c>
    </row>
    <row r="132" spans="1:14" ht="15">
      <c r="A132" s="1597" t="s">
        <v>2316</v>
      </c>
      <c r="B132" s="1598">
        <v>13</v>
      </c>
      <c r="C132" s="1599" t="s">
        <v>2413</v>
      </c>
      <c r="D132" s="1600">
        <v>1</v>
      </c>
      <c r="E132" s="1600">
        <v>10430</v>
      </c>
      <c r="F132" s="1600">
        <v>6000000</v>
      </c>
      <c r="G132" s="1601" t="s">
        <v>2317</v>
      </c>
      <c r="H132" s="1602">
        <v>3535</v>
      </c>
      <c r="I132" s="1602" t="s">
        <v>2318</v>
      </c>
      <c r="J132" s="1602" t="s">
        <v>2319</v>
      </c>
      <c r="K132" s="1603" t="s">
        <v>2320</v>
      </c>
      <c r="L132" s="1603" t="s">
        <v>2320</v>
      </c>
      <c r="M132" s="1604">
        <v>9300000</v>
      </c>
      <c r="N132" s="1598" t="s">
        <v>2414</v>
      </c>
    </row>
    <row r="133" spans="1:14" ht="15">
      <c r="A133" s="1597" t="s">
        <v>2316</v>
      </c>
      <c r="B133" s="1598">
        <v>13</v>
      </c>
      <c r="C133" s="1599" t="s">
        <v>2413</v>
      </c>
      <c r="D133" s="1600">
        <v>1</v>
      </c>
      <c r="E133" s="1600">
        <v>10430</v>
      </c>
      <c r="F133" s="1600">
        <v>6010000</v>
      </c>
      <c r="G133" s="1601" t="s">
        <v>2317</v>
      </c>
      <c r="H133" s="1602">
        <v>3535</v>
      </c>
      <c r="I133" s="1602" t="s">
        <v>2318</v>
      </c>
      <c r="J133" s="1602" t="s">
        <v>2319</v>
      </c>
      <c r="K133" s="1603" t="s">
        <v>2320</v>
      </c>
      <c r="L133" s="1603" t="s">
        <v>2320</v>
      </c>
      <c r="M133" s="1604">
        <v>1560000</v>
      </c>
      <c r="N133" s="1598" t="s">
        <v>2414</v>
      </c>
    </row>
    <row r="134" spans="1:14" ht="15">
      <c r="A134" s="1597" t="s">
        <v>2316</v>
      </c>
      <c r="B134" s="1598">
        <v>13</v>
      </c>
      <c r="C134" s="1599" t="s">
        <v>2413</v>
      </c>
      <c r="D134" s="1600">
        <v>1</v>
      </c>
      <c r="E134" s="1600">
        <v>10430</v>
      </c>
      <c r="F134" s="1600">
        <v>6020000</v>
      </c>
      <c r="G134" s="1601" t="s">
        <v>2317</v>
      </c>
      <c r="H134" s="1602">
        <v>3535</v>
      </c>
      <c r="I134" s="1602" t="s">
        <v>2318</v>
      </c>
      <c r="J134" s="1602" t="s">
        <v>2319</v>
      </c>
      <c r="K134" s="1603" t="s">
        <v>2320</v>
      </c>
      <c r="L134" s="1603" t="s">
        <v>2320</v>
      </c>
      <c r="M134" s="1604">
        <v>710000</v>
      </c>
      <c r="N134" s="1598" t="s">
        <v>2414</v>
      </c>
    </row>
    <row r="135" spans="1:14" ht="75">
      <c r="A135" s="1597" t="s">
        <v>2316</v>
      </c>
      <c r="B135" s="1598">
        <v>13</v>
      </c>
      <c r="C135" s="1598">
        <v>1013121</v>
      </c>
      <c r="D135" s="1600">
        <v>1</v>
      </c>
      <c r="E135" s="1600">
        <v>10430</v>
      </c>
      <c r="F135" s="1600">
        <v>6000000</v>
      </c>
      <c r="G135" s="1601" t="s">
        <v>2317</v>
      </c>
      <c r="H135" s="1602">
        <v>3535</v>
      </c>
      <c r="I135" s="1602" t="s">
        <v>2415</v>
      </c>
      <c r="J135" s="1602" t="s">
        <v>2319</v>
      </c>
      <c r="K135" s="1603" t="s">
        <v>2320</v>
      </c>
      <c r="L135" s="1603" t="s">
        <v>2320</v>
      </c>
      <c r="M135" s="1604">
        <v>7000000</v>
      </c>
      <c r="N135" s="1607" t="s">
        <v>2416</v>
      </c>
    </row>
    <row r="136" spans="1:14" ht="75">
      <c r="A136" s="1597" t="s">
        <v>2316</v>
      </c>
      <c r="B136" s="1598">
        <v>13</v>
      </c>
      <c r="C136" s="1598">
        <v>1013121</v>
      </c>
      <c r="D136" s="1600">
        <v>1</v>
      </c>
      <c r="E136" s="1600">
        <v>10430</v>
      </c>
      <c r="F136" s="1600">
        <v>6010000</v>
      </c>
      <c r="G136" s="1601" t="s">
        <v>2317</v>
      </c>
      <c r="H136" s="1602">
        <v>3535</v>
      </c>
      <c r="I136" s="1602" t="s">
        <v>2415</v>
      </c>
      <c r="J136" s="1602" t="s">
        <v>2319</v>
      </c>
      <c r="K136" s="1603" t="s">
        <v>2320</v>
      </c>
      <c r="L136" s="1603" t="s">
        <v>2320</v>
      </c>
      <c r="M136" s="1604">
        <v>1000000</v>
      </c>
      <c r="N136" s="1607" t="s">
        <v>2416</v>
      </c>
    </row>
    <row r="137" spans="1:14" ht="75">
      <c r="A137" s="1597" t="s">
        <v>2316</v>
      </c>
      <c r="B137" s="1598">
        <v>13</v>
      </c>
      <c r="C137" s="1598">
        <v>1013121</v>
      </c>
      <c r="D137" s="1600">
        <v>1</v>
      </c>
      <c r="E137" s="1600">
        <v>10430</v>
      </c>
      <c r="F137" s="1600">
        <v>6020000</v>
      </c>
      <c r="G137" s="1601" t="s">
        <v>2317</v>
      </c>
      <c r="H137" s="1602">
        <v>3535</v>
      </c>
      <c r="I137" s="1602" t="s">
        <v>2415</v>
      </c>
      <c r="J137" s="1602" t="s">
        <v>2319</v>
      </c>
      <c r="K137" s="1603" t="s">
        <v>2320</v>
      </c>
      <c r="L137" s="1603" t="s">
        <v>2320</v>
      </c>
      <c r="M137" s="1604">
        <v>7000000</v>
      </c>
      <c r="N137" s="1607" t="s">
        <v>2416</v>
      </c>
    </row>
    <row r="138" spans="1:14" ht="15">
      <c r="A138" s="1602" t="s">
        <v>2417</v>
      </c>
      <c r="B138" s="1598">
        <v>13</v>
      </c>
      <c r="C138" s="1602" t="s">
        <v>2418</v>
      </c>
      <c r="D138" s="1600">
        <v>1</v>
      </c>
      <c r="E138" s="1600">
        <v>10430</v>
      </c>
      <c r="F138" s="1600">
        <v>6060000</v>
      </c>
      <c r="G138" s="1601" t="s">
        <v>2317</v>
      </c>
      <c r="H138" s="1602" t="s">
        <v>2361</v>
      </c>
      <c r="I138" s="1602" t="s">
        <v>2387</v>
      </c>
      <c r="J138" s="1602" t="s">
        <v>2319</v>
      </c>
      <c r="K138" s="1603" t="s">
        <v>2320</v>
      </c>
      <c r="L138" s="1603" t="s">
        <v>2320</v>
      </c>
      <c r="M138" s="1604">
        <v>4800000</v>
      </c>
      <c r="N138" s="1602" t="s">
        <v>2419</v>
      </c>
    </row>
    <row r="139" spans="1:14" ht="15">
      <c r="A139" s="1608" t="s">
        <v>2420</v>
      </c>
      <c r="B139" s="1598">
        <v>13</v>
      </c>
      <c r="C139" s="1608" t="s">
        <v>2421</v>
      </c>
      <c r="D139" s="1600">
        <v>1</v>
      </c>
      <c r="E139" s="1600">
        <v>10430</v>
      </c>
      <c r="F139" s="1600">
        <v>6060000</v>
      </c>
      <c r="G139" s="1601" t="s">
        <v>2317</v>
      </c>
      <c r="H139" s="1602" t="s">
        <v>2361</v>
      </c>
      <c r="I139" s="1602" t="s">
        <v>2387</v>
      </c>
      <c r="J139" s="1602" t="s">
        <v>2319</v>
      </c>
      <c r="K139" s="1603" t="s">
        <v>2320</v>
      </c>
      <c r="L139" s="1603" t="s">
        <v>2320</v>
      </c>
      <c r="M139" s="1604">
        <v>2850000</v>
      </c>
      <c r="N139" s="1602" t="s">
        <v>2422</v>
      </c>
    </row>
    <row r="140" spans="1:14" ht="15">
      <c r="A140" s="1602" t="s">
        <v>2423</v>
      </c>
      <c r="B140" s="1598">
        <v>13</v>
      </c>
      <c r="C140" s="1602" t="s">
        <v>2424</v>
      </c>
      <c r="D140" s="1600">
        <v>1</v>
      </c>
      <c r="E140" s="1600">
        <v>10430</v>
      </c>
      <c r="F140" s="1600">
        <v>6060000</v>
      </c>
      <c r="G140" s="1601" t="s">
        <v>2317</v>
      </c>
      <c r="H140" s="1602" t="s">
        <v>2425</v>
      </c>
      <c r="I140" s="1602" t="s">
        <v>2387</v>
      </c>
      <c r="J140" s="1602" t="s">
        <v>2319</v>
      </c>
      <c r="K140" s="1603" t="s">
        <v>2320</v>
      </c>
      <c r="L140" s="1603" t="s">
        <v>2320</v>
      </c>
      <c r="M140" s="1604">
        <v>3690000</v>
      </c>
      <c r="N140" s="1602" t="s">
        <v>2426</v>
      </c>
    </row>
    <row r="141" spans="1:14" ht="15">
      <c r="A141" s="1602" t="s">
        <v>2427</v>
      </c>
      <c r="B141" s="1598">
        <v>13</v>
      </c>
      <c r="C141" s="1602" t="s">
        <v>2428</v>
      </c>
      <c r="D141" s="1600">
        <v>1</v>
      </c>
      <c r="E141" s="1600">
        <v>10430</v>
      </c>
      <c r="F141" s="1600">
        <v>6060000</v>
      </c>
      <c r="G141" s="1601" t="s">
        <v>2317</v>
      </c>
      <c r="H141" s="1602" t="s">
        <v>2333</v>
      </c>
      <c r="I141" s="1602" t="s">
        <v>2387</v>
      </c>
      <c r="J141" s="1602" t="s">
        <v>2319</v>
      </c>
      <c r="K141" s="1603" t="s">
        <v>2320</v>
      </c>
      <c r="L141" s="1603" t="s">
        <v>2320</v>
      </c>
      <c r="M141" s="1604">
        <v>4970000</v>
      </c>
      <c r="N141" s="1602" t="s">
        <v>2429</v>
      </c>
    </row>
    <row r="142" spans="1:14" ht="15">
      <c r="A142" s="1602" t="s">
        <v>2331</v>
      </c>
      <c r="B142" s="1598">
        <v>13</v>
      </c>
      <c r="C142" s="1602" t="s">
        <v>2430</v>
      </c>
      <c r="D142" s="1600">
        <v>1</v>
      </c>
      <c r="E142" s="1600">
        <v>10430</v>
      </c>
      <c r="F142" s="1600">
        <v>6060000</v>
      </c>
      <c r="G142" s="1601" t="s">
        <v>2317</v>
      </c>
      <c r="H142" s="1602" t="s">
        <v>2333</v>
      </c>
      <c r="I142" s="1602" t="s">
        <v>2387</v>
      </c>
      <c r="J142" s="1602" t="s">
        <v>2319</v>
      </c>
      <c r="K142" s="1603" t="s">
        <v>2320</v>
      </c>
      <c r="L142" s="1603" t="s">
        <v>2320</v>
      </c>
      <c r="M142" s="1604">
        <v>3030000</v>
      </c>
      <c r="N142" s="1602" t="s">
        <v>2431</v>
      </c>
    </row>
    <row r="143" spans="1:14" ht="15">
      <c r="A143" s="1602">
        <v>106</v>
      </c>
      <c r="B143" s="1598">
        <v>13</v>
      </c>
      <c r="C143" s="1602">
        <v>2106001</v>
      </c>
      <c r="D143" s="1600">
        <v>1</v>
      </c>
      <c r="E143" s="1600">
        <v>10430</v>
      </c>
      <c r="F143" s="1600">
        <v>6060000</v>
      </c>
      <c r="G143" s="1601" t="s">
        <v>2317</v>
      </c>
      <c r="H143" s="1602" t="s">
        <v>2392</v>
      </c>
      <c r="I143" s="1602" t="s">
        <v>2387</v>
      </c>
      <c r="J143" s="1602" t="s">
        <v>2319</v>
      </c>
      <c r="K143" s="1603" t="s">
        <v>2320</v>
      </c>
      <c r="L143" s="1603" t="s">
        <v>2320</v>
      </c>
      <c r="M143" s="1604">
        <v>67000000</v>
      </c>
      <c r="N143" s="1602" t="s">
        <v>2432</v>
      </c>
    </row>
    <row r="144" spans="1:14" ht="15">
      <c r="A144" s="1602" t="s">
        <v>2433</v>
      </c>
      <c r="B144" s="1598">
        <v>13</v>
      </c>
      <c r="C144" s="1602" t="s">
        <v>2434</v>
      </c>
      <c r="D144" s="1600">
        <v>1</v>
      </c>
      <c r="E144" s="1600">
        <v>10430</v>
      </c>
      <c r="F144" s="1600">
        <v>6060000</v>
      </c>
      <c r="G144" s="1601" t="s">
        <v>2317</v>
      </c>
      <c r="H144" s="1602" t="s">
        <v>2435</v>
      </c>
      <c r="I144" s="1602" t="s">
        <v>2387</v>
      </c>
      <c r="J144" s="1602" t="s">
        <v>2319</v>
      </c>
      <c r="K144" s="1603" t="s">
        <v>2320</v>
      </c>
      <c r="L144" s="1603" t="s">
        <v>2320</v>
      </c>
      <c r="M144" s="1604">
        <v>19700000</v>
      </c>
      <c r="N144" s="1602" t="s">
        <v>2436</v>
      </c>
    </row>
    <row r="145" spans="1:14" ht="15">
      <c r="A145" s="1602" t="s">
        <v>2437</v>
      </c>
      <c r="B145" s="1598">
        <v>13</v>
      </c>
      <c r="C145" s="1602" t="s">
        <v>2438</v>
      </c>
      <c r="D145" s="1600">
        <v>1</v>
      </c>
      <c r="E145" s="1600">
        <v>10430</v>
      </c>
      <c r="F145" s="1600">
        <v>6060000</v>
      </c>
      <c r="G145" s="1601" t="s">
        <v>2317</v>
      </c>
      <c r="H145" s="1603" t="s">
        <v>2439</v>
      </c>
      <c r="I145" s="1602" t="s">
        <v>2387</v>
      </c>
      <c r="J145" s="1602" t="s">
        <v>2319</v>
      </c>
      <c r="K145" s="1603" t="s">
        <v>2320</v>
      </c>
      <c r="L145" s="1603" t="s">
        <v>2320</v>
      </c>
      <c r="M145" s="1604">
        <v>19670000</v>
      </c>
      <c r="N145" s="1602" t="s">
        <v>2440</v>
      </c>
    </row>
    <row r="146" spans="1:14" ht="15">
      <c r="A146" s="1602" t="s">
        <v>2441</v>
      </c>
      <c r="B146" s="1598">
        <v>13</v>
      </c>
      <c r="C146" s="1602" t="s">
        <v>2442</v>
      </c>
      <c r="D146" s="1600">
        <v>1</v>
      </c>
      <c r="E146" s="1600">
        <v>10430</v>
      </c>
      <c r="F146" s="1600">
        <v>6060000</v>
      </c>
      <c r="G146" s="1601" t="s">
        <v>2317</v>
      </c>
      <c r="H146" s="1603" t="s">
        <v>2439</v>
      </c>
      <c r="I146" s="1602" t="s">
        <v>2387</v>
      </c>
      <c r="J146" s="1602" t="s">
        <v>2319</v>
      </c>
      <c r="K146" s="1603" t="s">
        <v>2320</v>
      </c>
      <c r="L146" s="1603" t="s">
        <v>2320</v>
      </c>
      <c r="M146" s="1604">
        <v>17030000</v>
      </c>
      <c r="N146" s="1602" t="s">
        <v>2443</v>
      </c>
    </row>
    <row r="147" spans="1:14" ht="15">
      <c r="A147" s="1602" t="s">
        <v>2444</v>
      </c>
      <c r="B147" s="1598">
        <v>13</v>
      </c>
      <c r="C147" s="1602" t="s">
        <v>2445</v>
      </c>
      <c r="D147" s="1600">
        <v>1</v>
      </c>
      <c r="E147" s="1600">
        <v>10430</v>
      </c>
      <c r="F147" s="1600">
        <v>6060000</v>
      </c>
      <c r="G147" s="1601" t="s">
        <v>2317</v>
      </c>
      <c r="H147" s="1602" t="s">
        <v>2349</v>
      </c>
      <c r="I147" s="1602" t="s">
        <v>2387</v>
      </c>
      <c r="J147" s="1602" t="s">
        <v>2319</v>
      </c>
      <c r="K147" s="1603" t="s">
        <v>2320</v>
      </c>
      <c r="L147" s="1603" t="s">
        <v>2320</v>
      </c>
      <c r="M147" s="1604">
        <v>1620000</v>
      </c>
      <c r="N147" s="1602" t="s">
        <v>2446</v>
      </c>
    </row>
    <row r="148" spans="1:14" ht="15">
      <c r="A148" s="1602" t="s">
        <v>2447</v>
      </c>
      <c r="B148" s="1598">
        <v>13</v>
      </c>
      <c r="C148" s="1602" t="s">
        <v>2448</v>
      </c>
      <c r="D148" s="1600">
        <v>1</v>
      </c>
      <c r="E148" s="1600">
        <v>10430</v>
      </c>
      <c r="F148" s="1600">
        <v>6060000</v>
      </c>
      <c r="G148" s="1601" t="s">
        <v>2317</v>
      </c>
      <c r="H148" s="1602" t="s">
        <v>2349</v>
      </c>
      <c r="I148" s="1602" t="s">
        <v>2387</v>
      </c>
      <c r="J148" s="1602" t="s">
        <v>2319</v>
      </c>
      <c r="K148" s="1603" t="s">
        <v>2320</v>
      </c>
      <c r="L148" s="1603" t="s">
        <v>2320</v>
      </c>
      <c r="M148" s="1604">
        <v>830000</v>
      </c>
      <c r="N148" s="1602" t="s">
        <v>2449</v>
      </c>
    </row>
    <row r="149" spans="1:14" ht="15">
      <c r="A149" s="1602" t="s">
        <v>2450</v>
      </c>
      <c r="B149" s="1598">
        <v>13</v>
      </c>
      <c r="C149" s="1602" t="s">
        <v>2451</v>
      </c>
      <c r="D149" s="1600">
        <v>1</v>
      </c>
      <c r="E149" s="1600">
        <v>10430</v>
      </c>
      <c r="F149" s="1600">
        <v>6060000</v>
      </c>
      <c r="G149" s="1601" t="s">
        <v>2317</v>
      </c>
      <c r="H149" s="1602" t="s">
        <v>2452</v>
      </c>
      <c r="I149" s="1602" t="s">
        <v>2387</v>
      </c>
      <c r="J149" s="1602" t="s">
        <v>2319</v>
      </c>
      <c r="K149" s="1603" t="s">
        <v>2320</v>
      </c>
      <c r="L149" s="1603" t="s">
        <v>2320</v>
      </c>
      <c r="M149" s="1604">
        <v>5200000</v>
      </c>
      <c r="N149" s="1602" t="s">
        <v>2453</v>
      </c>
    </row>
    <row r="150" spans="1:14" ht="15">
      <c r="A150" s="1602" t="s">
        <v>2454</v>
      </c>
      <c r="B150" s="1598">
        <v>13</v>
      </c>
      <c r="C150" s="1602" t="s">
        <v>2455</v>
      </c>
      <c r="D150" s="1600">
        <v>1</v>
      </c>
      <c r="E150" s="1600">
        <v>10430</v>
      </c>
      <c r="F150" s="1600">
        <v>6060000</v>
      </c>
      <c r="G150" s="1601" t="s">
        <v>2317</v>
      </c>
      <c r="H150" s="1602" t="s">
        <v>2397</v>
      </c>
      <c r="I150" s="1602" t="s">
        <v>2387</v>
      </c>
      <c r="J150" s="1602" t="s">
        <v>2319</v>
      </c>
      <c r="K150" s="1603" t="s">
        <v>2320</v>
      </c>
      <c r="L150" s="1603" t="s">
        <v>2320</v>
      </c>
      <c r="M150" s="1604">
        <v>68140000</v>
      </c>
      <c r="N150" s="1602" t="s">
        <v>2456</v>
      </c>
    </row>
    <row r="151" spans="1:14" ht="15">
      <c r="A151" s="1602" t="s">
        <v>2457</v>
      </c>
      <c r="B151" s="1598">
        <v>13</v>
      </c>
      <c r="C151" s="1602" t="s">
        <v>2458</v>
      </c>
      <c r="D151" s="1600">
        <v>1</v>
      </c>
      <c r="E151" s="1600">
        <v>10430</v>
      </c>
      <c r="F151" s="1600">
        <v>6060000</v>
      </c>
      <c r="G151" s="1601" t="s">
        <v>2317</v>
      </c>
      <c r="H151" s="1602" t="s">
        <v>2397</v>
      </c>
      <c r="I151" s="1602" t="s">
        <v>2387</v>
      </c>
      <c r="J151" s="1602" t="s">
        <v>2319</v>
      </c>
      <c r="K151" s="1603" t="s">
        <v>2320</v>
      </c>
      <c r="L151" s="1603" t="s">
        <v>2320</v>
      </c>
      <c r="M151" s="1604">
        <v>9580000</v>
      </c>
      <c r="N151" s="1602" t="s">
        <v>2459</v>
      </c>
    </row>
    <row r="152" spans="1:14" ht="15">
      <c r="A152" s="1602" t="s">
        <v>2460</v>
      </c>
      <c r="B152" s="1598">
        <v>13</v>
      </c>
      <c r="C152" s="1602" t="s">
        <v>2461</v>
      </c>
      <c r="D152" s="1600">
        <v>1</v>
      </c>
      <c r="E152" s="1600">
        <v>10430</v>
      </c>
      <c r="F152" s="1600">
        <v>6060000</v>
      </c>
      <c r="G152" s="1601" t="s">
        <v>2317</v>
      </c>
      <c r="H152" s="1602" t="s">
        <v>2397</v>
      </c>
      <c r="I152" s="1602" t="s">
        <v>2387</v>
      </c>
      <c r="J152" s="1602" t="s">
        <v>2319</v>
      </c>
      <c r="K152" s="1603" t="s">
        <v>2320</v>
      </c>
      <c r="L152" s="1603" t="s">
        <v>2320</v>
      </c>
      <c r="M152" s="1604">
        <v>12500000</v>
      </c>
      <c r="N152" s="1602" t="s">
        <v>2462</v>
      </c>
    </row>
    <row r="153" spans="1:14" ht="15">
      <c r="A153" s="1602" t="s">
        <v>2463</v>
      </c>
      <c r="B153" s="1598">
        <v>13</v>
      </c>
      <c r="C153" s="1602" t="s">
        <v>2464</v>
      </c>
      <c r="D153" s="1600">
        <v>1</v>
      </c>
      <c r="E153" s="1600">
        <v>10430</v>
      </c>
      <c r="F153" s="1600">
        <v>6060000</v>
      </c>
      <c r="G153" s="1601" t="s">
        <v>2317</v>
      </c>
      <c r="H153" s="1602" t="s">
        <v>2465</v>
      </c>
      <c r="I153" s="1602" t="s">
        <v>2387</v>
      </c>
      <c r="J153" s="1602" t="s">
        <v>2319</v>
      </c>
      <c r="K153" s="1603" t="s">
        <v>2320</v>
      </c>
      <c r="L153" s="1603" t="s">
        <v>2320</v>
      </c>
      <c r="M153" s="1604">
        <v>18450000</v>
      </c>
      <c r="N153" s="1602" t="s">
        <v>2466</v>
      </c>
    </row>
    <row r="154" spans="1:14" ht="15">
      <c r="A154" s="1602" t="s">
        <v>2467</v>
      </c>
      <c r="B154" s="1598">
        <v>13</v>
      </c>
      <c r="C154" s="1602" t="s">
        <v>2468</v>
      </c>
      <c r="D154" s="1600">
        <v>1</v>
      </c>
      <c r="E154" s="1600">
        <v>10430</v>
      </c>
      <c r="F154" s="1600">
        <v>6060000</v>
      </c>
      <c r="G154" s="1601" t="s">
        <v>2317</v>
      </c>
      <c r="H154" s="1602" t="s">
        <v>2469</v>
      </c>
      <c r="I154" s="1602" t="s">
        <v>2387</v>
      </c>
      <c r="J154" s="1602" t="s">
        <v>2319</v>
      </c>
      <c r="K154" s="1603" t="s">
        <v>2320</v>
      </c>
      <c r="L154" s="1603" t="s">
        <v>2320</v>
      </c>
      <c r="M154" s="1604">
        <v>37000000</v>
      </c>
      <c r="N154" s="1602" t="s">
        <v>2470</v>
      </c>
    </row>
    <row r="155" spans="1:14" ht="15">
      <c r="A155" s="1602" t="s">
        <v>2471</v>
      </c>
      <c r="B155" s="1598">
        <v>13</v>
      </c>
      <c r="C155" s="1602" t="s">
        <v>2472</v>
      </c>
      <c r="D155" s="1600">
        <v>1</v>
      </c>
      <c r="E155" s="1600">
        <v>10430</v>
      </c>
      <c r="F155" s="1600">
        <v>6060000</v>
      </c>
      <c r="G155" s="1601" t="s">
        <v>2317</v>
      </c>
      <c r="H155" s="1602" t="s">
        <v>2473</v>
      </c>
      <c r="I155" s="1602" t="s">
        <v>2387</v>
      </c>
      <c r="J155" s="1602" t="s">
        <v>2319</v>
      </c>
      <c r="K155" s="1603" t="s">
        <v>2320</v>
      </c>
      <c r="L155" s="1603" t="s">
        <v>2320</v>
      </c>
      <c r="M155" s="1604">
        <v>43700000</v>
      </c>
      <c r="N155" s="1602" t="s">
        <v>2474</v>
      </c>
    </row>
    <row r="156" spans="1:14" ht="15">
      <c r="A156" s="1602" t="s">
        <v>2475</v>
      </c>
      <c r="B156" s="1598">
        <v>13</v>
      </c>
      <c r="C156" s="1602" t="s">
        <v>2476</v>
      </c>
      <c r="D156" s="1600">
        <v>1</v>
      </c>
      <c r="E156" s="1600">
        <v>10430</v>
      </c>
      <c r="F156" s="1600">
        <v>6060000</v>
      </c>
      <c r="G156" s="1601" t="s">
        <v>2317</v>
      </c>
      <c r="H156" s="1602" t="s">
        <v>2473</v>
      </c>
      <c r="I156" s="1602" t="s">
        <v>2387</v>
      </c>
      <c r="J156" s="1602" t="s">
        <v>2319</v>
      </c>
      <c r="K156" s="1603" t="s">
        <v>2320</v>
      </c>
      <c r="L156" s="1603" t="s">
        <v>2320</v>
      </c>
      <c r="M156" s="1604">
        <v>21870000</v>
      </c>
      <c r="N156" s="1602" t="s">
        <v>2477</v>
      </c>
    </row>
    <row r="157" spans="1:14" ht="15">
      <c r="A157" s="1602" t="s">
        <v>2478</v>
      </c>
      <c r="B157" s="1598">
        <v>13</v>
      </c>
      <c r="C157" s="1602" t="s">
        <v>2479</v>
      </c>
      <c r="D157" s="1600">
        <v>1</v>
      </c>
      <c r="E157" s="1600">
        <v>10430</v>
      </c>
      <c r="F157" s="1600">
        <v>6060000</v>
      </c>
      <c r="G157" s="1601" t="s">
        <v>2317</v>
      </c>
      <c r="H157" s="1602" t="s">
        <v>2325</v>
      </c>
      <c r="I157" s="1602" t="s">
        <v>2387</v>
      </c>
      <c r="J157" s="1602" t="s">
        <v>2319</v>
      </c>
      <c r="K157" s="1603" t="s">
        <v>2320</v>
      </c>
      <c r="L157" s="1603" t="s">
        <v>2320</v>
      </c>
      <c r="M157" s="1604">
        <v>7400000</v>
      </c>
      <c r="N157" s="1602" t="s">
        <v>2480</v>
      </c>
    </row>
    <row r="158" spans="1:14" ht="15">
      <c r="A158" s="1602" t="s">
        <v>2481</v>
      </c>
      <c r="B158" s="1598">
        <v>13</v>
      </c>
      <c r="C158" s="1602" t="s">
        <v>2482</v>
      </c>
      <c r="D158" s="1600">
        <v>1</v>
      </c>
      <c r="E158" s="1600">
        <v>10430</v>
      </c>
      <c r="F158" s="1600">
        <v>6060000</v>
      </c>
      <c r="G158" s="1601" t="s">
        <v>2317</v>
      </c>
      <c r="H158" s="1602" t="s">
        <v>2325</v>
      </c>
      <c r="I158" s="1602" t="s">
        <v>2387</v>
      </c>
      <c r="J158" s="1602" t="s">
        <v>2319</v>
      </c>
      <c r="K158" s="1603" t="s">
        <v>2320</v>
      </c>
      <c r="L158" s="1603" t="s">
        <v>2320</v>
      </c>
      <c r="M158" s="1604">
        <v>3100000</v>
      </c>
      <c r="N158" s="1602" t="s">
        <v>2483</v>
      </c>
    </row>
    <row r="159" spans="1:14" ht="15">
      <c r="A159" s="1602" t="s">
        <v>2484</v>
      </c>
      <c r="B159" s="1598">
        <v>13</v>
      </c>
      <c r="C159" s="1602" t="s">
        <v>2485</v>
      </c>
      <c r="D159" s="1600">
        <v>1</v>
      </c>
      <c r="E159" s="1600">
        <v>10430</v>
      </c>
      <c r="F159" s="1600">
        <v>6060000</v>
      </c>
      <c r="G159" s="1601" t="s">
        <v>2317</v>
      </c>
      <c r="H159" s="1602" t="s">
        <v>2325</v>
      </c>
      <c r="I159" s="1602" t="s">
        <v>2387</v>
      </c>
      <c r="J159" s="1602" t="s">
        <v>2319</v>
      </c>
      <c r="K159" s="1603" t="s">
        <v>2320</v>
      </c>
      <c r="L159" s="1603" t="s">
        <v>2320</v>
      </c>
      <c r="M159" s="1604">
        <v>2790000</v>
      </c>
      <c r="N159" s="1602" t="s">
        <v>2486</v>
      </c>
    </row>
    <row r="160" spans="1:14" ht="15">
      <c r="A160" s="1602" t="s">
        <v>2487</v>
      </c>
      <c r="B160" s="1598">
        <v>13</v>
      </c>
      <c r="C160" s="1602" t="s">
        <v>2488</v>
      </c>
      <c r="D160" s="1600">
        <v>1</v>
      </c>
      <c r="E160" s="1600">
        <v>10430</v>
      </c>
      <c r="F160" s="1600">
        <v>6060000</v>
      </c>
      <c r="G160" s="1601" t="s">
        <v>2317</v>
      </c>
      <c r="H160" s="1602" t="s">
        <v>2489</v>
      </c>
      <c r="I160" s="1602" t="s">
        <v>2387</v>
      </c>
      <c r="J160" s="1602" t="s">
        <v>2319</v>
      </c>
      <c r="K160" s="1603" t="s">
        <v>2320</v>
      </c>
      <c r="L160" s="1603" t="s">
        <v>2320</v>
      </c>
      <c r="M160" s="1604">
        <v>8890000</v>
      </c>
      <c r="N160" s="1602" t="s">
        <v>2490</v>
      </c>
    </row>
    <row r="161" spans="1:14" ht="15">
      <c r="A161" s="1602" t="s">
        <v>2491</v>
      </c>
      <c r="B161" s="1598">
        <v>13</v>
      </c>
      <c r="C161" s="1602" t="s">
        <v>2492</v>
      </c>
      <c r="D161" s="1600">
        <v>1</v>
      </c>
      <c r="E161" s="1600">
        <v>10430</v>
      </c>
      <c r="F161" s="1600">
        <v>6060000</v>
      </c>
      <c r="G161" s="1601" t="s">
        <v>2317</v>
      </c>
      <c r="H161" s="1602" t="s">
        <v>2489</v>
      </c>
      <c r="I161" s="1602" t="s">
        <v>2387</v>
      </c>
      <c r="J161" s="1602" t="s">
        <v>2319</v>
      </c>
      <c r="K161" s="1603" t="s">
        <v>2320</v>
      </c>
      <c r="L161" s="1603" t="s">
        <v>2320</v>
      </c>
      <c r="M161" s="1604">
        <v>2500000</v>
      </c>
      <c r="N161" s="1602" t="s">
        <v>2493</v>
      </c>
    </row>
    <row r="162" spans="1:14" ht="15">
      <c r="A162" s="1602" t="s">
        <v>2494</v>
      </c>
      <c r="B162" s="1598">
        <v>13</v>
      </c>
      <c r="C162" s="1602" t="s">
        <v>2495</v>
      </c>
      <c r="D162" s="1600">
        <v>1</v>
      </c>
      <c r="E162" s="1600">
        <v>10430</v>
      </c>
      <c r="F162" s="1600">
        <v>6060000</v>
      </c>
      <c r="G162" s="1601" t="s">
        <v>2317</v>
      </c>
      <c r="H162" s="1602" t="s">
        <v>2496</v>
      </c>
      <c r="I162" s="1602" t="s">
        <v>2387</v>
      </c>
      <c r="J162" s="1602" t="s">
        <v>2319</v>
      </c>
      <c r="K162" s="1603" t="s">
        <v>2320</v>
      </c>
      <c r="L162" s="1603" t="s">
        <v>2320</v>
      </c>
      <c r="M162" s="1604">
        <v>10500000</v>
      </c>
      <c r="N162" s="1602" t="s">
        <v>2497</v>
      </c>
    </row>
    <row r="163" spans="1:14" ht="15">
      <c r="A163" s="1602" t="s">
        <v>148</v>
      </c>
      <c r="B163" s="1598">
        <v>13</v>
      </c>
      <c r="C163" s="1602" t="s">
        <v>2498</v>
      </c>
      <c r="D163" s="1600">
        <v>1</v>
      </c>
      <c r="E163" s="1600">
        <v>10430</v>
      </c>
      <c r="F163" s="1600">
        <v>6060000</v>
      </c>
      <c r="G163" s="1601" t="s">
        <v>2317</v>
      </c>
      <c r="H163" s="1602" t="s">
        <v>2499</v>
      </c>
      <c r="I163" s="1602" t="s">
        <v>2387</v>
      </c>
      <c r="J163" s="1602" t="s">
        <v>2319</v>
      </c>
      <c r="K163" s="1603" t="s">
        <v>2320</v>
      </c>
      <c r="L163" s="1603" t="s">
        <v>2320</v>
      </c>
      <c r="M163" s="1604">
        <v>630000</v>
      </c>
      <c r="N163" s="1602" t="s">
        <v>2500</v>
      </c>
    </row>
    <row r="164" spans="1:14" ht="15">
      <c r="A164" s="1602" t="s">
        <v>2501</v>
      </c>
      <c r="B164" s="1598">
        <v>13</v>
      </c>
      <c r="C164" s="1602" t="s">
        <v>2502</v>
      </c>
      <c r="D164" s="1600">
        <v>1</v>
      </c>
      <c r="E164" s="1600">
        <v>10430</v>
      </c>
      <c r="F164" s="1600">
        <v>6060000</v>
      </c>
      <c r="G164" s="1601" t="s">
        <v>2317</v>
      </c>
      <c r="H164" s="1602" t="s">
        <v>2499</v>
      </c>
      <c r="I164" s="1602" t="s">
        <v>2387</v>
      </c>
      <c r="J164" s="1602" t="s">
        <v>2319</v>
      </c>
      <c r="K164" s="1603" t="s">
        <v>2320</v>
      </c>
      <c r="L164" s="1603" t="s">
        <v>2320</v>
      </c>
      <c r="M164" s="1604">
        <v>140000</v>
      </c>
      <c r="N164" s="1602" t="s">
        <v>2503</v>
      </c>
    </row>
    <row r="165" spans="1:14" ht="15">
      <c r="A165" s="1602" t="s">
        <v>2504</v>
      </c>
      <c r="B165" s="1598">
        <v>13</v>
      </c>
      <c r="C165" s="1602" t="s">
        <v>2505</v>
      </c>
      <c r="D165" s="1600">
        <v>1</v>
      </c>
      <c r="E165" s="1600">
        <v>10430</v>
      </c>
      <c r="F165" s="1600">
        <v>6060000</v>
      </c>
      <c r="G165" s="1601" t="s">
        <v>2317</v>
      </c>
      <c r="H165" s="1602" t="s">
        <v>2506</v>
      </c>
      <c r="I165" s="1602" t="s">
        <v>2387</v>
      </c>
      <c r="J165" s="1602" t="s">
        <v>2319</v>
      </c>
      <c r="K165" s="1603" t="s">
        <v>2320</v>
      </c>
      <c r="L165" s="1603" t="s">
        <v>2320</v>
      </c>
      <c r="M165" s="1604">
        <v>2700000</v>
      </c>
      <c r="N165" s="1602" t="s">
        <v>2507</v>
      </c>
    </row>
    <row r="166" spans="1:14" ht="15">
      <c r="A166" s="1602" t="s">
        <v>2508</v>
      </c>
      <c r="B166" s="1598">
        <v>13</v>
      </c>
      <c r="C166" s="1602" t="s">
        <v>2509</v>
      </c>
      <c r="D166" s="1600">
        <v>1</v>
      </c>
      <c r="E166" s="1600">
        <v>10430</v>
      </c>
      <c r="F166" s="1600">
        <v>6060000</v>
      </c>
      <c r="G166" s="1601" t="s">
        <v>2317</v>
      </c>
      <c r="H166" s="1602" t="s">
        <v>2506</v>
      </c>
      <c r="I166" s="1602" t="s">
        <v>2387</v>
      </c>
      <c r="J166" s="1602" t="s">
        <v>2319</v>
      </c>
      <c r="K166" s="1603" t="s">
        <v>2320</v>
      </c>
      <c r="L166" s="1603" t="s">
        <v>2320</v>
      </c>
      <c r="M166" s="1604">
        <v>3400000</v>
      </c>
      <c r="N166" s="1602" t="s">
        <v>2510</v>
      </c>
    </row>
    <row r="167" spans="1:14" ht="15">
      <c r="A167" s="1602" t="s">
        <v>2511</v>
      </c>
      <c r="B167" s="1598">
        <v>13</v>
      </c>
      <c r="C167" s="1602" t="s">
        <v>2512</v>
      </c>
      <c r="D167" s="1600">
        <v>1</v>
      </c>
      <c r="E167" s="1600">
        <v>10430</v>
      </c>
      <c r="F167" s="1600">
        <v>6060000</v>
      </c>
      <c r="G167" s="1601" t="s">
        <v>2317</v>
      </c>
      <c r="H167" s="1602" t="s">
        <v>2513</v>
      </c>
      <c r="I167" s="1602" t="s">
        <v>2387</v>
      </c>
      <c r="J167" s="1602" t="s">
        <v>2319</v>
      </c>
      <c r="K167" s="1603" t="s">
        <v>2320</v>
      </c>
      <c r="L167" s="1603" t="s">
        <v>2320</v>
      </c>
      <c r="M167" s="1604">
        <v>840000</v>
      </c>
      <c r="N167" s="1602" t="s">
        <v>2514</v>
      </c>
    </row>
    <row r="168" spans="1:14" ht="15">
      <c r="A168" s="1602" t="s">
        <v>2515</v>
      </c>
      <c r="B168" s="1598">
        <v>13</v>
      </c>
      <c r="C168" s="1602" t="s">
        <v>2516</v>
      </c>
      <c r="D168" s="1600">
        <v>1</v>
      </c>
      <c r="E168" s="1600">
        <v>10430</v>
      </c>
      <c r="F168" s="1600">
        <v>6060000</v>
      </c>
      <c r="G168" s="1601" t="s">
        <v>2317</v>
      </c>
      <c r="H168" s="1602" t="s">
        <v>2513</v>
      </c>
      <c r="I168" s="1602" t="s">
        <v>2387</v>
      </c>
      <c r="J168" s="1602" t="s">
        <v>2319</v>
      </c>
      <c r="K168" s="1603" t="s">
        <v>2320</v>
      </c>
      <c r="L168" s="1603" t="s">
        <v>2320</v>
      </c>
      <c r="M168" s="1604">
        <v>2000000</v>
      </c>
      <c r="N168" s="1602" t="s">
        <v>2517</v>
      </c>
    </row>
    <row r="169" spans="1:14" ht="15">
      <c r="A169" s="1608" t="s">
        <v>2518</v>
      </c>
      <c r="B169" s="1598">
        <v>13</v>
      </c>
      <c r="C169" s="1608" t="s">
        <v>2519</v>
      </c>
      <c r="D169" s="1600">
        <v>1</v>
      </c>
      <c r="E169" s="1600">
        <v>10430</v>
      </c>
      <c r="F169" s="1600">
        <v>6060000</v>
      </c>
      <c r="G169" s="1601" t="s">
        <v>2317</v>
      </c>
      <c r="H169" s="1608" t="s">
        <v>2499</v>
      </c>
      <c r="I169" s="1602" t="s">
        <v>2387</v>
      </c>
      <c r="J169" s="1602" t="s">
        <v>2319</v>
      </c>
      <c r="K169" s="1603" t="s">
        <v>2320</v>
      </c>
      <c r="L169" s="1603" t="s">
        <v>2320</v>
      </c>
      <c r="M169" s="1604">
        <v>340000</v>
      </c>
      <c r="N169" s="1608" t="s">
        <v>2520</v>
      </c>
    </row>
    <row r="170" spans="1:14" ht="15">
      <c r="A170" s="1602" t="s">
        <v>2521</v>
      </c>
      <c r="B170" s="1598">
        <v>13</v>
      </c>
      <c r="C170" s="1602" t="s">
        <v>2522</v>
      </c>
      <c r="D170" s="1600">
        <v>1</v>
      </c>
      <c r="E170" s="1600">
        <v>10430</v>
      </c>
      <c r="F170" s="1600">
        <v>6060000</v>
      </c>
      <c r="G170" s="1601" t="s">
        <v>2317</v>
      </c>
      <c r="H170" s="1602" t="s">
        <v>2523</v>
      </c>
      <c r="I170" s="1602" t="s">
        <v>2387</v>
      </c>
      <c r="J170" s="1602" t="s">
        <v>2319</v>
      </c>
      <c r="K170" s="1603" t="s">
        <v>2320</v>
      </c>
      <c r="L170" s="1603" t="s">
        <v>2320</v>
      </c>
      <c r="M170" s="1604">
        <v>4800000</v>
      </c>
      <c r="N170" s="1602" t="s">
        <v>2524</v>
      </c>
    </row>
    <row r="171" spans="1:14" ht="15">
      <c r="A171" s="1602" t="s">
        <v>2525</v>
      </c>
      <c r="B171" s="1598">
        <v>13</v>
      </c>
      <c r="C171" s="1602" t="s">
        <v>2526</v>
      </c>
      <c r="D171" s="1600">
        <v>1</v>
      </c>
      <c r="E171" s="1600">
        <v>10430</v>
      </c>
      <c r="F171" s="1600">
        <v>6060000</v>
      </c>
      <c r="G171" s="1601" t="s">
        <v>2317</v>
      </c>
      <c r="H171" s="1602" t="s">
        <v>2523</v>
      </c>
      <c r="I171" s="1602" t="s">
        <v>2387</v>
      </c>
      <c r="J171" s="1602" t="s">
        <v>2319</v>
      </c>
      <c r="K171" s="1603" t="s">
        <v>2320</v>
      </c>
      <c r="L171" s="1603" t="s">
        <v>2320</v>
      </c>
      <c r="M171" s="1604">
        <v>22950000</v>
      </c>
      <c r="N171" s="1602" t="s">
        <v>2527</v>
      </c>
    </row>
    <row r="172" spans="1:14" ht="15">
      <c r="A172" s="1608" t="s">
        <v>2528</v>
      </c>
      <c r="B172" s="1598">
        <v>13</v>
      </c>
      <c r="C172" s="1608" t="s">
        <v>2529</v>
      </c>
      <c r="D172" s="1600">
        <v>1</v>
      </c>
      <c r="E172" s="1600">
        <v>10430</v>
      </c>
      <c r="F172" s="1600">
        <v>6060000</v>
      </c>
      <c r="G172" s="1601" t="s">
        <v>2317</v>
      </c>
      <c r="H172" s="1608" t="s">
        <v>2523</v>
      </c>
      <c r="I172" s="1602" t="s">
        <v>2387</v>
      </c>
      <c r="J172" s="1602" t="s">
        <v>2319</v>
      </c>
      <c r="K172" s="1603" t="s">
        <v>2320</v>
      </c>
      <c r="L172" s="1603" t="s">
        <v>2320</v>
      </c>
      <c r="M172" s="1604">
        <v>440000</v>
      </c>
      <c r="N172" s="1608" t="s">
        <v>2530</v>
      </c>
    </row>
    <row r="173" spans="1:14" ht="15">
      <c r="A173" s="1602" t="s">
        <v>2531</v>
      </c>
      <c r="B173" s="1598">
        <v>13</v>
      </c>
      <c r="C173" s="1602" t="s">
        <v>2532</v>
      </c>
      <c r="D173" s="1600">
        <v>1</v>
      </c>
      <c r="E173" s="1600">
        <v>10430</v>
      </c>
      <c r="F173" s="1600">
        <v>6060000</v>
      </c>
      <c r="G173" s="1601" t="s">
        <v>2317</v>
      </c>
      <c r="H173" s="1602" t="s">
        <v>2533</v>
      </c>
      <c r="I173" s="1602" t="s">
        <v>2387</v>
      </c>
      <c r="J173" s="1602" t="s">
        <v>2319</v>
      </c>
      <c r="K173" s="1603" t="s">
        <v>2320</v>
      </c>
      <c r="L173" s="1603" t="s">
        <v>2320</v>
      </c>
      <c r="M173" s="1604">
        <v>3080000</v>
      </c>
      <c r="N173" s="1602" t="s">
        <v>2534</v>
      </c>
    </row>
    <row r="174" spans="1:14" ht="15">
      <c r="A174" s="1602" t="s">
        <v>2535</v>
      </c>
      <c r="B174" s="1598">
        <v>13</v>
      </c>
      <c r="C174" s="1602" t="s">
        <v>2536</v>
      </c>
      <c r="D174" s="1600">
        <v>1</v>
      </c>
      <c r="E174" s="1600">
        <v>10430</v>
      </c>
      <c r="F174" s="1600">
        <v>6060000</v>
      </c>
      <c r="G174" s="1601" t="s">
        <v>2317</v>
      </c>
      <c r="H174" s="1602" t="s">
        <v>2537</v>
      </c>
      <c r="I174" s="1602" t="s">
        <v>2387</v>
      </c>
      <c r="J174" s="1602" t="s">
        <v>2319</v>
      </c>
      <c r="K174" s="1603" t="s">
        <v>2320</v>
      </c>
      <c r="L174" s="1603" t="s">
        <v>2320</v>
      </c>
      <c r="M174" s="1604">
        <v>8650000</v>
      </c>
      <c r="N174" s="1602" t="s">
        <v>2538</v>
      </c>
    </row>
    <row r="175" spans="1:14" ht="15">
      <c r="A175" s="1602" t="s">
        <v>2539</v>
      </c>
      <c r="B175" s="1598">
        <v>13</v>
      </c>
      <c r="C175" s="1602" t="s">
        <v>2540</v>
      </c>
      <c r="D175" s="1600">
        <v>1</v>
      </c>
      <c r="E175" s="1600">
        <v>10430</v>
      </c>
      <c r="F175" s="1600">
        <v>6060000</v>
      </c>
      <c r="G175" s="1601" t="s">
        <v>2317</v>
      </c>
      <c r="H175" s="1602" t="s">
        <v>2541</v>
      </c>
      <c r="I175" s="1602" t="s">
        <v>2387</v>
      </c>
      <c r="J175" s="1602" t="s">
        <v>2319</v>
      </c>
      <c r="K175" s="1603" t="s">
        <v>2320</v>
      </c>
      <c r="L175" s="1603" t="s">
        <v>2320</v>
      </c>
      <c r="M175" s="1604">
        <v>47700000</v>
      </c>
      <c r="N175" s="1602" t="s">
        <v>2542</v>
      </c>
    </row>
    <row r="176" spans="1:14" ht="15">
      <c r="A176" s="1602">
        <v>113</v>
      </c>
      <c r="B176" s="1598">
        <v>13</v>
      </c>
      <c r="C176" s="1602" t="s">
        <v>2543</v>
      </c>
      <c r="D176" s="1600">
        <v>1</v>
      </c>
      <c r="E176" s="1600">
        <v>10430</v>
      </c>
      <c r="F176" s="1600">
        <v>6060000</v>
      </c>
      <c r="G176" s="1601" t="s">
        <v>2317</v>
      </c>
      <c r="H176" s="1602" t="s">
        <v>2544</v>
      </c>
      <c r="I176" s="1602" t="s">
        <v>2387</v>
      </c>
      <c r="J176" s="1602" t="s">
        <v>2319</v>
      </c>
      <c r="K176" s="1603" t="s">
        <v>2320</v>
      </c>
      <c r="L176" s="1603" t="s">
        <v>2320</v>
      </c>
      <c r="M176" s="1604">
        <v>65000000</v>
      </c>
      <c r="N176" s="1602" t="s">
        <v>2545</v>
      </c>
    </row>
    <row r="177" spans="1:14" ht="15">
      <c r="A177" s="1602" t="s">
        <v>2546</v>
      </c>
      <c r="B177" s="1598">
        <v>13</v>
      </c>
      <c r="C177" s="1602" t="s">
        <v>2547</v>
      </c>
      <c r="D177" s="1600">
        <v>1</v>
      </c>
      <c r="E177" s="1600">
        <v>10430</v>
      </c>
      <c r="F177" s="1600">
        <v>6060000</v>
      </c>
      <c r="G177" s="1601" t="s">
        <v>2317</v>
      </c>
      <c r="H177" s="1602" t="s">
        <v>2548</v>
      </c>
      <c r="I177" s="1602" t="s">
        <v>2387</v>
      </c>
      <c r="J177" s="1602" t="s">
        <v>2319</v>
      </c>
      <c r="K177" s="1603" t="s">
        <v>2320</v>
      </c>
      <c r="L177" s="1603" t="s">
        <v>2320</v>
      </c>
      <c r="M177" s="1604">
        <v>23500000</v>
      </c>
      <c r="N177" s="1602" t="s">
        <v>2549</v>
      </c>
    </row>
    <row r="178" spans="1:14" ht="15">
      <c r="A178" s="1602" t="s">
        <v>2550</v>
      </c>
      <c r="B178" s="1598">
        <v>13</v>
      </c>
      <c r="C178" s="1602" t="s">
        <v>2551</v>
      </c>
      <c r="D178" s="1600">
        <v>1</v>
      </c>
      <c r="E178" s="1600">
        <v>10430</v>
      </c>
      <c r="F178" s="1600">
        <v>6060000</v>
      </c>
      <c r="G178" s="1601" t="s">
        <v>2317</v>
      </c>
      <c r="H178" s="1602" t="s">
        <v>2552</v>
      </c>
      <c r="I178" s="1602" t="s">
        <v>2387</v>
      </c>
      <c r="J178" s="1602" t="s">
        <v>2319</v>
      </c>
      <c r="K178" s="1603" t="s">
        <v>2320</v>
      </c>
      <c r="L178" s="1603" t="s">
        <v>2320</v>
      </c>
      <c r="M178" s="1604">
        <v>29300000</v>
      </c>
      <c r="N178" s="1602" t="s">
        <v>2553</v>
      </c>
    </row>
    <row r="179" spans="1:14" ht="15">
      <c r="A179" s="1602" t="s">
        <v>2554</v>
      </c>
      <c r="B179" s="1598">
        <v>13</v>
      </c>
      <c r="C179" s="1602" t="s">
        <v>2555</v>
      </c>
      <c r="D179" s="1600">
        <v>1</v>
      </c>
      <c r="E179" s="1600">
        <v>10430</v>
      </c>
      <c r="F179" s="1600">
        <v>6060000</v>
      </c>
      <c r="G179" s="1601" t="s">
        <v>2317</v>
      </c>
      <c r="H179" s="1602" t="s">
        <v>2556</v>
      </c>
      <c r="I179" s="1602" t="s">
        <v>2387</v>
      </c>
      <c r="J179" s="1602" t="s">
        <v>2319</v>
      </c>
      <c r="K179" s="1603" t="s">
        <v>2320</v>
      </c>
      <c r="L179" s="1603" t="s">
        <v>2320</v>
      </c>
      <c r="M179" s="1604">
        <v>12680000</v>
      </c>
      <c r="N179" s="1602" t="s">
        <v>2557</v>
      </c>
    </row>
    <row r="180" spans="1:14" ht="15">
      <c r="A180" s="1602" t="s">
        <v>2558</v>
      </c>
      <c r="B180" s="1598">
        <v>13</v>
      </c>
      <c r="C180" s="1602" t="s">
        <v>2559</v>
      </c>
      <c r="D180" s="1600">
        <v>1</v>
      </c>
      <c r="E180" s="1600">
        <v>10430</v>
      </c>
      <c r="F180" s="1600">
        <v>6060000</v>
      </c>
      <c r="G180" s="1601" t="s">
        <v>2317</v>
      </c>
      <c r="H180" s="1602" t="s">
        <v>2560</v>
      </c>
      <c r="I180" s="1602" t="s">
        <v>2387</v>
      </c>
      <c r="J180" s="1602" t="s">
        <v>2319</v>
      </c>
      <c r="K180" s="1603" t="s">
        <v>2320</v>
      </c>
      <c r="L180" s="1603" t="s">
        <v>2320</v>
      </c>
      <c r="M180" s="1604">
        <v>12400000</v>
      </c>
      <c r="N180" s="1602" t="s">
        <v>2561</v>
      </c>
    </row>
    <row r="181" spans="1:14" ht="15">
      <c r="A181" s="1602" t="s">
        <v>2562</v>
      </c>
      <c r="B181" s="1598">
        <v>13</v>
      </c>
      <c r="C181" s="1602" t="s">
        <v>2563</v>
      </c>
      <c r="D181" s="1600">
        <v>1</v>
      </c>
      <c r="E181" s="1600">
        <v>10430</v>
      </c>
      <c r="F181" s="1600">
        <v>6060000</v>
      </c>
      <c r="G181" s="1601" t="s">
        <v>2317</v>
      </c>
      <c r="H181" s="1602" t="s">
        <v>2564</v>
      </c>
      <c r="I181" s="1602" t="s">
        <v>2387</v>
      </c>
      <c r="J181" s="1602" t="s">
        <v>2319</v>
      </c>
      <c r="K181" s="1603" t="s">
        <v>2320</v>
      </c>
      <c r="L181" s="1603" t="s">
        <v>2320</v>
      </c>
      <c r="M181" s="1604">
        <v>13500000</v>
      </c>
      <c r="N181" s="1602" t="s">
        <v>2565</v>
      </c>
    </row>
    <row r="182" spans="1:14" ht="15">
      <c r="A182" s="1602" t="s">
        <v>2566</v>
      </c>
      <c r="B182" s="1598">
        <v>13</v>
      </c>
      <c r="C182" s="1602" t="s">
        <v>2567</v>
      </c>
      <c r="D182" s="1600">
        <v>1</v>
      </c>
      <c r="E182" s="1600">
        <v>10430</v>
      </c>
      <c r="F182" s="1600">
        <v>6060000</v>
      </c>
      <c r="G182" s="1601" t="s">
        <v>2317</v>
      </c>
      <c r="H182" s="1602" t="s">
        <v>2568</v>
      </c>
      <c r="I182" s="1602" t="s">
        <v>2387</v>
      </c>
      <c r="J182" s="1602" t="s">
        <v>2319</v>
      </c>
      <c r="K182" s="1603" t="s">
        <v>2320</v>
      </c>
      <c r="L182" s="1603" t="s">
        <v>2320</v>
      </c>
      <c r="M182" s="1604">
        <v>8800000</v>
      </c>
      <c r="N182" s="1602" t="s">
        <v>2569</v>
      </c>
    </row>
    <row r="183" spans="1:14" ht="15">
      <c r="A183" s="1602" t="s">
        <v>2570</v>
      </c>
      <c r="B183" s="1598">
        <v>13</v>
      </c>
      <c r="C183" s="1602" t="s">
        <v>2571</v>
      </c>
      <c r="D183" s="1600">
        <v>1</v>
      </c>
      <c r="E183" s="1600">
        <v>10430</v>
      </c>
      <c r="F183" s="1600">
        <v>6060000</v>
      </c>
      <c r="G183" s="1601" t="s">
        <v>2317</v>
      </c>
      <c r="H183" s="1602" t="s">
        <v>2572</v>
      </c>
      <c r="I183" s="1602" t="s">
        <v>2387</v>
      </c>
      <c r="J183" s="1602" t="s">
        <v>2319</v>
      </c>
      <c r="K183" s="1603" t="s">
        <v>2320</v>
      </c>
      <c r="L183" s="1603" t="s">
        <v>2320</v>
      </c>
      <c r="M183" s="1604">
        <v>35400000</v>
      </c>
      <c r="N183" s="1602" t="s">
        <v>2573</v>
      </c>
    </row>
    <row r="184" spans="1:14" ht="15">
      <c r="A184" s="1602" t="s">
        <v>2574</v>
      </c>
      <c r="B184" s="1598">
        <v>13</v>
      </c>
      <c r="C184" s="1602" t="s">
        <v>2575</v>
      </c>
      <c r="D184" s="1600">
        <v>1</v>
      </c>
      <c r="E184" s="1600">
        <v>10430</v>
      </c>
      <c r="F184" s="1600">
        <v>6060000</v>
      </c>
      <c r="G184" s="1601" t="s">
        <v>2317</v>
      </c>
      <c r="H184" s="1602" t="s">
        <v>2572</v>
      </c>
      <c r="I184" s="1602" t="s">
        <v>2387</v>
      </c>
      <c r="J184" s="1602" t="s">
        <v>2319</v>
      </c>
      <c r="K184" s="1603" t="s">
        <v>2320</v>
      </c>
      <c r="L184" s="1603" t="s">
        <v>2320</v>
      </c>
      <c r="M184" s="1604">
        <v>11400000</v>
      </c>
      <c r="N184" s="1602" t="s">
        <v>2576</v>
      </c>
    </row>
    <row r="185" spans="1:14" ht="15">
      <c r="A185" s="1602" t="s">
        <v>2577</v>
      </c>
      <c r="B185" s="1598">
        <v>13</v>
      </c>
      <c r="C185" s="1602" t="s">
        <v>2578</v>
      </c>
      <c r="D185" s="1600">
        <v>1</v>
      </c>
      <c r="E185" s="1600">
        <v>10430</v>
      </c>
      <c r="F185" s="1600">
        <v>6060000</v>
      </c>
      <c r="G185" s="1601" t="s">
        <v>2317</v>
      </c>
      <c r="H185" s="1602" t="s">
        <v>2579</v>
      </c>
      <c r="I185" s="1602" t="s">
        <v>2387</v>
      </c>
      <c r="J185" s="1602" t="s">
        <v>2319</v>
      </c>
      <c r="K185" s="1603" t="s">
        <v>2320</v>
      </c>
      <c r="L185" s="1603" t="s">
        <v>2320</v>
      </c>
      <c r="M185" s="1604">
        <v>5300000</v>
      </c>
      <c r="N185" s="1602" t="s">
        <v>2580</v>
      </c>
    </row>
    <row r="186" spans="1:14" ht="15">
      <c r="A186" s="1602" t="s">
        <v>2581</v>
      </c>
      <c r="B186" s="1598">
        <v>13</v>
      </c>
      <c r="C186" s="1602" t="s">
        <v>2582</v>
      </c>
      <c r="D186" s="1600">
        <v>1</v>
      </c>
      <c r="E186" s="1600">
        <v>10430</v>
      </c>
      <c r="F186" s="1600">
        <v>6060000</v>
      </c>
      <c r="G186" s="1601" t="s">
        <v>2317</v>
      </c>
      <c r="H186" s="1602" t="s">
        <v>2579</v>
      </c>
      <c r="I186" s="1602" t="s">
        <v>2387</v>
      </c>
      <c r="J186" s="1602" t="s">
        <v>2319</v>
      </c>
      <c r="K186" s="1603" t="s">
        <v>2320</v>
      </c>
      <c r="L186" s="1603" t="s">
        <v>2320</v>
      </c>
      <c r="M186" s="1604">
        <v>7200000</v>
      </c>
      <c r="N186" s="1602" t="s">
        <v>2583</v>
      </c>
    </row>
    <row r="187" spans="1:14" ht="15">
      <c r="A187" s="1602" t="s">
        <v>2584</v>
      </c>
      <c r="B187" s="1598">
        <v>13</v>
      </c>
      <c r="C187" s="1602" t="s">
        <v>2585</v>
      </c>
      <c r="D187" s="1600">
        <v>1</v>
      </c>
      <c r="E187" s="1600">
        <v>10430</v>
      </c>
      <c r="F187" s="1600">
        <v>6060000</v>
      </c>
      <c r="G187" s="1601" t="s">
        <v>2317</v>
      </c>
      <c r="H187" s="1602" t="s">
        <v>2372</v>
      </c>
      <c r="I187" s="1602" t="s">
        <v>2387</v>
      </c>
      <c r="J187" s="1602" t="s">
        <v>2319</v>
      </c>
      <c r="K187" s="1603" t="s">
        <v>2320</v>
      </c>
      <c r="L187" s="1603" t="s">
        <v>2320</v>
      </c>
      <c r="M187" s="1604">
        <v>34700000</v>
      </c>
      <c r="N187" s="1602" t="s">
        <v>2586</v>
      </c>
    </row>
    <row r="188" spans="1:14" ht="15">
      <c r="A188" s="1602" t="s">
        <v>2587</v>
      </c>
      <c r="B188" s="1598">
        <v>13</v>
      </c>
      <c r="C188" s="1602" t="s">
        <v>2588</v>
      </c>
      <c r="D188" s="1600">
        <v>1</v>
      </c>
      <c r="E188" s="1600">
        <v>10430</v>
      </c>
      <c r="F188" s="1600">
        <v>6060000</v>
      </c>
      <c r="G188" s="1601" t="s">
        <v>2317</v>
      </c>
      <c r="H188" s="1602" t="s">
        <v>2372</v>
      </c>
      <c r="I188" s="1602" t="s">
        <v>2387</v>
      </c>
      <c r="J188" s="1602" t="s">
        <v>2319</v>
      </c>
      <c r="K188" s="1603" t="s">
        <v>2320</v>
      </c>
      <c r="L188" s="1603" t="s">
        <v>2320</v>
      </c>
      <c r="M188" s="1604">
        <v>32600000</v>
      </c>
      <c r="N188" s="1602" t="s">
        <v>2589</v>
      </c>
    </row>
    <row r="189" spans="1:14" ht="15">
      <c r="A189" s="1602" t="s">
        <v>2590</v>
      </c>
      <c r="B189" s="1598">
        <v>13</v>
      </c>
      <c r="C189" s="1602" t="s">
        <v>2591</v>
      </c>
      <c r="D189" s="1600">
        <v>1</v>
      </c>
      <c r="E189" s="1600">
        <v>10430</v>
      </c>
      <c r="F189" s="1600">
        <v>6060000</v>
      </c>
      <c r="G189" s="1601" t="s">
        <v>2317</v>
      </c>
      <c r="H189" s="1602" t="s">
        <v>2372</v>
      </c>
      <c r="I189" s="1602" t="s">
        <v>2387</v>
      </c>
      <c r="J189" s="1602" t="s">
        <v>2319</v>
      </c>
      <c r="K189" s="1603" t="s">
        <v>2320</v>
      </c>
      <c r="L189" s="1603" t="s">
        <v>2320</v>
      </c>
      <c r="M189" s="1604">
        <v>1300000</v>
      </c>
      <c r="N189" s="1602" t="s">
        <v>2592</v>
      </c>
    </row>
    <row r="190" spans="1:14" ht="15">
      <c r="A190" s="1602" t="s">
        <v>2593</v>
      </c>
      <c r="B190" s="1598">
        <v>13</v>
      </c>
      <c r="C190" s="1602" t="s">
        <v>2594</v>
      </c>
      <c r="D190" s="1600">
        <v>1</v>
      </c>
      <c r="E190" s="1600">
        <v>10430</v>
      </c>
      <c r="F190" s="1600">
        <v>6060000</v>
      </c>
      <c r="G190" s="1601" t="s">
        <v>2317</v>
      </c>
      <c r="H190" s="1602" t="s">
        <v>2595</v>
      </c>
      <c r="I190" s="1602" t="s">
        <v>2387</v>
      </c>
      <c r="J190" s="1602" t="s">
        <v>2319</v>
      </c>
      <c r="K190" s="1603" t="s">
        <v>2320</v>
      </c>
      <c r="L190" s="1603" t="s">
        <v>2320</v>
      </c>
      <c r="M190" s="1604">
        <v>5700000</v>
      </c>
      <c r="N190" s="1602" t="s">
        <v>2596</v>
      </c>
    </row>
    <row r="191" spans="1:14" ht="15">
      <c r="A191" s="1602" t="s">
        <v>2597</v>
      </c>
      <c r="B191" s="1598">
        <v>13</v>
      </c>
      <c r="C191" s="1602" t="s">
        <v>2598</v>
      </c>
      <c r="D191" s="1600">
        <v>1</v>
      </c>
      <c r="E191" s="1600">
        <v>10430</v>
      </c>
      <c r="F191" s="1600">
        <v>6060000</v>
      </c>
      <c r="G191" s="1601" t="s">
        <v>2317</v>
      </c>
      <c r="H191" s="1602" t="s">
        <v>2595</v>
      </c>
      <c r="I191" s="1602" t="s">
        <v>2387</v>
      </c>
      <c r="J191" s="1602" t="s">
        <v>2319</v>
      </c>
      <c r="K191" s="1603" t="s">
        <v>2320</v>
      </c>
      <c r="L191" s="1603" t="s">
        <v>2320</v>
      </c>
      <c r="M191" s="1604">
        <v>2900000</v>
      </c>
      <c r="N191" s="1602" t="s">
        <v>2599</v>
      </c>
    </row>
    <row r="192" spans="1:14" ht="15">
      <c r="A192" s="1602" t="s">
        <v>2600</v>
      </c>
      <c r="B192" s="1598">
        <v>13</v>
      </c>
      <c r="C192" s="1602" t="s">
        <v>2601</v>
      </c>
      <c r="D192" s="1600">
        <v>1</v>
      </c>
      <c r="E192" s="1600">
        <v>10430</v>
      </c>
      <c r="F192" s="1600">
        <v>6060000</v>
      </c>
      <c r="G192" s="1601" t="s">
        <v>2317</v>
      </c>
      <c r="H192" s="1602" t="s">
        <v>2336</v>
      </c>
      <c r="I192" s="1602" t="s">
        <v>2387</v>
      </c>
      <c r="J192" s="1602" t="s">
        <v>2319</v>
      </c>
      <c r="K192" s="1603" t="s">
        <v>2320</v>
      </c>
      <c r="L192" s="1603" t="s">
        <v>2320</v>
      </c>
      <c r="M192" s="1604">
        <v>8500000</v>
      </c>
      <c r="N192" s="1602" t="s">
        <v>2602</v>
      </c>
    </row>
    <row r="193" spans="1:14" ht="15">
      <c r="A193" s="1602" t="s">
        <v>2603</v>
      </c>
      <c r="B193" s="1598">
        <v>13</v>
      </c>
      <c r="C193" s="1602" t="s">
        <v>2604</v>
      </c>
      <c r="D193" s="1600">
        <v>1</v>
      </c>
      <c r="E193" s="1600">
        <v>10430</v>
      </c>
      <c r="F193" s="1600">
        <v>6060000</v>
      </c>
      <c r="G193" s="1601" t="s">
        <v>2317</v>
      </c>
      <c r="H193" s="1602" t="s">
        <v>2336</v>
      </c>
      <c r="I193" s="1602" t="s">
        <v>2387</v>
      </c>
      <c r="J193" s="1602" t="s">
        <v>2319</v>
      </c>
      <c r="K193" s="1603" t="s">
        <v>2320</v>
      </c>
      <c r="L193" s="1603" t="s">
        <v>2320</v>
      </c>
      <c r="M193" s="1604">
        <v>2260000</v>
      </c>
      <c r="N193" s="1602" t="s">
        <v>2605</v>
      </c>
    </row>
    <row r="194" spans="1:14" ht="15">
      <c r="A194" s="1602" t="s">
        <v>2606</v>
      </c>
      <c r="B194" s="1598">
        <v>13</v>
      </c>
      <c r="C194" s="1602" t="s">
        <v>2607</v>
      </c>
      <c r="D194" s="1600">
        <v>1</v>
      </c>
      <c r="E194" s="1600">
        <v>10430</v>
      </c>
      <c r="F194" s="1600">
        <v>6060000</v>
      </c>
      <c r="G194" s="1601" t="s">
        <v>2317</v>
      </c>
      <c r="H194" s="1602" t="s">
        <v>2336</v>
      </c>
      <c r="I194" s="1602" t="s">
        <v>2387</v>
      </c>
      <c r="J194" s="1602" t="s">
        <v>2319</v>
      </c>
      <c r="K194" s="1603" t="s">
        <v>2320</v>
      </c>
      <c r="L194" s="1603" t="s">
        <v>2320</v>
      </c>
      <c r="M194" s="1604">
        <v>1200000</v>
      </c>
      <c r="N194" s="1602" t="s">
        <v>2608</v>
      </c>
    </row>
    <row r="195" spans="1:14" ht="15">
      <c r="A195" s="1602" t="s">
        <v>2609</v>
      </c>
      <c r="B195" s="1598">
        <v>13</v>
      </c>
      <c r="C195" s="1602" t="s">
        <v>2610</v>
      </c>
      <c r="D195" s="1600">
        <v>1</v>
      </c>
      <c r="E195" s="1600">
        <v>10430</v>
      </c>
      <c r="F195" s="1600">
        <v>6060000</v>
      </c>
      <c r="G195" s="1601" t="s">
        <v>2317</v>
      </c>
      <c r="H195" s="1602" t="s">
        <v>2611</v>
      </c>
      <c r="I195" s="1602" t="s">
        <v>2387</v>
      </c>
      <c r="J195" s="1602" t="s">
        <v>2319</v>
      </c>
      <c r="K195" s="1603" t="s">
        <v>2320</v>
      </c>
      <c r="L195" s="1603" t="s">
        <v>2320</v>
      </c>
      <c r="M195" s="1604">
        <v>2500000</v>
      </c>
      <c r="N195" s="1602" t="s">
        <v>2612</v>
      </c>
    </row>
    <row r="196" spans="1:14" ht="15">
      <c r="A196" s="1602" t="s">
        <v>2613</v>
      </c>
      <c r="B196" s="1598">
        <v>13</v>
      </c>
      <c r="C196" s="1602" t="s">
        <v>2614</v>
      </c>
      <c r="D196" s="1600">
        <v>1</v>
      </c>
      <c r="E196" s="1600">
        <v>10430</v>
      </c>
      <c r="F196" s="1600">
        <v>6060000</v>
      </c>
      <c r="G196" s="1601" t="s">
        <v>2317</v>
      </c>
      <c r="H196" s="1602" t="s">
        <v>2611</v>
      </c>
      <c r="I196" s="1602" t="s">
        <v>2387</v>
      </c>
      <c r="J196" s="1602" t="s">
        <v>2319</v>
      </c>
      <c r="K196" s="1603" t="s">
        <v>2320</v>
      </c>
      <c r="L196" s="1603" t="s">
        <v>2320</v>
      </c>
      <c r="M196" s="1604">
        <v>860000</v>
      </c>
      <c r="N196" s="1602" t="s">
        <v>2615</v>
      </c>
    </row>
    <row r="197" spans="1:14" ht="15">
      <c r="A197" s="1608" t="s">
        <v>2616</v>
      </c>
      <c r="B197" s="1598">
        <v>13</v>
      </c>
      <c r="C197" s="1608" t="s">
        <v>2617</v>
      </c>
      <c r="D197" s="1600">
        <v>1</v>
      </c>
      <c r="E197" s="1600">
        <v>10430</v>
      </c>
      <c r="F197" s="1600">
        <v>6060000</v>
      </c>
      <c r="G197" s="1601" t="s">
        <v>2317</v>
      </c>
      <c r="H197" s="1608" t="s">
        <v>2618</v>
      </c>
      <c r="I197" s="1602" t="s">
        <v>2387</v>
      </c>
      <c r="J197" s="1602" t="s">
        <v>2319</v>
      </c>
      <c r="K197" s="1603" t="s">
        <v>2320</v>
      </c>
      <c r="L197" s="1603" t="s">
        <v>2320</v>
      </c>
      <c r="M197" s="1604">
        <v>470000</v>
      </c>
      <c r="N197" s="1608" t="s">
        <v>2619</v>
      </c>
    </row>
    <row r="198" spans="1:14" ht="15">
      <c r="A198" s="1602" t="s">
        <v>2620</v>
      </c>
      <c r="B198" s="1609">
        <v>13</v>
      </c>
      <c r="C198" s="1602" t="s">
        <v>2621</v>
      </c>
      <c r="D198" s="1600">
        <v>1</v>
      </c>
      <c r="E198" s="1600">
        <v>10430</v>
      </c>
      <c r="F198" s="1600">
        <v>6060000</v>
      </c>
      <c r="G198" s="1601" t="s">
        <v>2317</v>
      </c>
      <c r="H198" s="1602" t="s">
        <v>2618</v>
      </c>
      <c r="I198" s="1602" t="s">
        <v>2387</v>
      </c>
      <c r="J198" s="1602" t="s">
        <v>2319</v>
      </c>
      <c r="K198" s="1603" t="s">
        <v>2320</v>
      </c>
      <c r="L198" s="1603" t="s">
        <v>2320</v>
      </c>
      <c r="M198" s="1604">
        <v>1050000</v>
      </c>
      <c r="N198" s="1602" t="s">
        <v>2622</v>
      </c>
    </row>
    <row r="199" spans="1:14" ht="15">
      <c r="A199" s="1602" t="s">
        <v>2417</v>
      </c>
      <c r="B199" s="1598">
        <v>13</v>
      </c>
      <c r="C199" s="1602" t="s">
        <v>2418</v>
      </c>
      <c r="D199" s="1600">
        <v>1</v>
      </c>
      <c r="E199" s="1600">
        <v>10430</v>
      </c>
      <c r="F199" s="1600">
        <v>6060000</v>
      </c>
      <c r="G199" s="1601" t="s">
        <v>2317</v>
      </c>
      <c r="H199" s="1602" t="s">
        <v>2361</v>
      </c>
      <c r="I199" s="1602" t="s">
        <v>2388</v>
      </c>
      <c r="J199" s="1602" t="s">
        <v>2319</v>
      </c>
      <c r="K199" s="1603" t="s">
        <v>2320</v>
      </c>
      <c r="L199" s="1603" t="s">
        <v>2320</v>
      </c>
      <c r="M199" s="1604">
        <v>61700000</v>
      </c>
      <c r="N199" s="1602" t="s">
        <v>2419</v>
      </c>
    </row>
    <row r="200" spans="1:14" ht="15">
      <c r="A200" s="1602" t="s">
        <v>2420</v>
      </c>
      <c r="B200" s="1598">
        <v>13</v>
      </c>
      <c r="C200" s="1602" t="s">
        <v>2421</v>
      </c>
      <c r="D200" s="1600">
        <v>1</v>
      </c>
      <c r="E200" s="1600">
        <v>10430</v>
      </c>
      <c r="F200" s="1600">
        <v>6060000</v>
      </c>
      <c r="G200" s="1601" t="s">
        <v>2317</v>
      </c>
      <c r="H200" s="1602" t="s">
        <v>2361</v>
      </c>
      <c r="I200" s="1602" t="s">
        <v>2388</v>
      </c>
      <c r="J200" s="1602" t="s">
        <v>2319</v>
      </c>
      <c r="K200" s="1603" t="s">
        <v>2320</v>
      </c>
      <c r="L200" s="1603" t="s">
        <v>2320</v>
      </c>
      <c r="M200" s="1604">
        <v>23100000</v>
      </c>
      <c r="N200" s="1602" t="s">
        <v>2422</v>
      </c>
    </row>
    <row r="201" spans="1:14" ht="15">
      <c r="A201" s="1602" t="s">
        <v>2423</v>
      </c>
      <c r="B201" s="1598">
        <v>13</v>
      </c>
      <c r="C201" s="1602" t="s">
        <v>2424</v>
      </c>
      <c r="D201" s="1600">
        <v>1</v>
      </c>
      <c r="E201" s="1600">
        <v>10430</v>
      </c>
      <c r="F201" s="1600">
        <v>6060000</v>
      </c>
      <c r="G201" s="1601" t="s">
        <v>2317</v>
      </c>
      <c r="H201" s="1602" t="s">
        <v>2425</v>
      </c>
      <c r="I201" s="1602" t="s">
        <v>2388</v>
      </c>
      <c r="J201" s="1602" t="s">
        <v>2319</v>
      </c>
      <c r="K201" s="1603" t="s">
        <v>2320</v>
      </c>
      <c r="L201" s="1603" t="s">
        <v>2320</v>
      </c>
      <c r="M201" s="1604">
        <v>34200000</v>
      </c>
      <c r="N201" s="1602" t="s">
        <v>2426</v>
      </c>
    </row>
    <row r="202" spans="1:14" ht="15">
      <c r="A202" s="1602" t="s">
        <v>2427</v>
      </c>
      <c r="B202" s="1598">
        <v>13</v>
      </c>
      <c r="C202" s="1602" t="s">
        <v>2428</v>
      </c>
      <c r="D202" s="1600">
        <v>1</v>
      </c>
      <c r="E202" s="1600">
        <v>10430</v>
      </c>
      <c r="F202" s="1600">
        <v>6060000</v>
      </c>
      <c r="G202" s="1601" t="s">
        <v>2317</v>
      </c>
      <c r="H202" s="1602" t="s">
        <v>2333</v>
      </c>
      <c r="I202" s="1602" t="s">
        <v>2388</v>
      </c>
      <c r="J202" s="1602" t="s">
        <v>2319</v>
      </c>
      <c r="K202" s="1603" t="s">
        <v>2320</v>
      </c>
      <c r="L202" s="1603" t="s">
        <v>2320</v>
      </c>
      <c r="M202" s="1604">
        <v>15400000</v>
      </c>
      <c r="N202" s="1602" t="s">
        <v>2429</v>
      </c>
    </row>
    <row r="203" spans="1:14" ht="15">
      <c r="A203" s="1602" t="s">
        <v>2331</v>
      </c>
      <c r="B203" s="1598">
        <v>13</v>
      </c>
      <c r="C203" s="1602" t="s">
        <v>2430</v>
      </c>
      <c r="D203" s="1600">
        <v>1</v>
      </c>
      <c r="E203" s="1600">
        <v>10430</v>
      </c>
      <c r="F203" s="1600">
        <v>6060000</v>
      </c>
      <c r="G203" s="1601" t="s">
        <v>2317</v>
      </c>
      <c r="H203" s="1602" t="s">
        <v>2333</v>
      </c>
      <c r="I203" s="1602" t="s">
        <v>2388</v>
      </c>
      <c r="J203" s="1602" t="s">
        <v>2319</v>
      </c>
      <c r="K203" s="1603" t="s">
        <v>2320</v>
      </c>
      <c r="L203" s="1603" t="s">
        <v>2320</v>
      </c>
      <c r="M203" s="1604">
        <v>14500000</v>
      </c>
      <c r="N203" s="1602" t="s">
        <v>2431</v>
      </c>
    </row>
    <row r="204" spans="1:14" ht="15">
      <c r="A204" s="1602">
        <v>106</v>
      </c>
      <c r="B204" s="1598">
        <v>13</v>
      </c>
      <c r="C204" s="1602">
        <v>2106001</v>
      </c>
      <c r="D204" s="1600">
        <v>1</v>
      </c>
      <c r="E204" s="1600">
        <v>10430</v>
      </c>
      <c r="F204" s="1600">
        <v>6060000</v>
      </c>
      <c r="G204" s="1601" t="s">
        <v>2317</v>
      </c>
      <c r="H204" s="1602" t="s">
        <v>2392</v>
      </c>
      <c r="I204" s="1602" t="s">
        <v>2388</v>
      </c>
      <c r="J204" s="1602" t="s">
        <v>2319</v>
      </c>
      <c r="K204" s="1603" t="s">
        <v>2320</v>
      </c>
      <c r="L204" s="1603" t="s">
        <v>2320</v>
      </c>
      <c r="M204" s="1604">
        <v>62100000</v>
      </c>
      <c r="N204" s="1602" t="s">
        <v>2432</v>
      </c>
    </row>
    <row r="205" spans="1:14" ht="15">
      <c r="A205" s="1602" t="s">
        <v>2433</v>
      </c>
      <c r="B205" s="1598">
        <v>13</v>
      </c>
      <c r="C205" s="1602" t="s">
        <v>2434</v>
      </c>
      <c r="D205" s="1600">
        <v>1</v>
      </c>
      <c r="E205" s="1600">
        <v>10430</v>
      </c>
      <c r="F205" s="1600">
        <v>6060000</v>
      </c>
      <c r="G205" s="1601" t="s">
        <v>2317</v>
      </c>
      <c r="H205" s="1602" t="s">
        <v>2435</v>
      </c>
      <c r="I205" s="1602" t="s">
        <v>2388</v>
      </c>
      <c r="J205" s="1602" t="s">
        <v>2319</v>
      </c>
      <c r="K205" s="1603" t="s">
        <v>2320</v>
      </c>
      <c r="L205" s="1603" t="s">
        <v>2320</v>
      </c>
      <c r="M205" s="1604">
        <v>28000000</v>
      </c>
      <c r="N205" s="1602" t="s">
        <v>2436</v>
      </c>
    </row>
    <row r="206" spans="1:14" ht="15">
      <c r="A206" s="1602" t="s">
        <v>2437</v>
      </c>
      <c r="B206" s="1598">
        <v>13</v>
      </c>
      <c r="C206" s="1602" t="s">
        <v>2438</v>
      </c>
      <c r="D206" s="1600">
        <v>1</v>
      </c>
      <c r="E206" s="1600">
        <v>10430</v>
      </c>
      <c r="F206" s="1600">
        <v>6060000</v>
      </c>
      <c r="G206" s="1601" t="s">
        <v>2317</v>
      </c>
      <c r="H206" s="1603" t="s">
        <v>2439</v>
      </c>
      <c r="I206" s="1602" t="s">
        <v>2388</v>
      </c>
      <c r="J206" s="1602" t="s">
        <v>2319</v>
      </c>
      <c r="K206" s="1603" t="s">
        <v>2320</v>
      </c>
      <c r="L206" s="1603" t="s">
        <v>2320</v>
      </c>
      <c r="M206" s="1604">
        <v>26900000</v>
      </c>
      <c r="N206" s="1602" t="s">
        <v>2440</v>
      </c>
    </row>
    <row r="207" spans="1:14" ht="15">
      <c r="A207" s="1602" t="s">
        <v>2441</v>
      </c>
      <c r="B207" s="1598">
        <v>13</v>
      </c>
      <c r="C207" s="1602" t="s">
        <v>2442</v>
      </c>
      <c r="D207" s="1600">
        <v>1</v>
      </c>
      <c r="E207" s="1600">
        <v>10430</v>
      </c>
      <c r="F207" s="1600">
        <v>6060000</v>
      </c>
      <c r="G207" s="1601" t="s">
        <v>2317</v>
      </c>
      <c r="H207" s="1603" t="s">
        <v>2439</v>
      </c>
      <c r="I207" s="1602" t="s">
        <v>2388</v>
      </c>
      <c r="J207" s="1602" t="s">
        <v>2319</v>
      </c>
      <c r="K207" s="1603" t="s">
        <v>2320</v>
      </c>
      <c r="L207" s="1603" t="s">
        <v>2320</v>
      </c>
      <c r="M207" s="1604">
        <v>18900000</v>
      </c>
      <c r="N207" s="1602" t="s">
        <v>2443</v>
      </c>
    </row>
    <row r="208" spans="1:14" ht="15">
      <c r="A208" s="1602" t="s">
        <v>2444</v>
      </c>
      <c r="B208" s="1598">
        <v>13</v>
      </c>
      <c r="C208" s="1602" t="s">
        <v>2445</v>
      </c>
      <c r="D208" s="1600">
        <v>1</v>
      </c>
      <c r="E208" s="1600">
        <v>10430</v>
      </c>
      <c r="F208" s="1600">
        <v>6060000</v>
      </c>
      <c r="G208" s="1601" t="s">
        <v>2317</v>
      </c>
      <c r="H208" s="1602" t="s">
        <v>2349</v>
      </c>
      <c r="I208" s="1602" t="s">
        <v>2388</v>
      </c>
      <c r="J208" s="1602" t="s">
        <v>2319</v>
      </c>
      <c r="K208" s="1603" t="s">
        <v>2320</v>
      </c>
      <c r="L208" s="1603" t="s">
        <v>2320</v>
      </c>
      <c r="M208" s="1604">
        <v>161600000</v>
      </c>
      <c r="N208" s="1602" t="s">
        <v>2446</v>
      </c>
    </row>
    <row r="209" spans="1:14" ht="15">
      <c r="A209" s="1602" t="s">
        <v>2447</v>
      </c>
      <c r="B209" s="1598">
        <v>13</v>
      </c>
      <c r="C209" s="1602" t="s">
        <v>2448</v>
      </c>
      <c r="D209" s="1600">
        <v>1</v>
      </c>
      <c r="E209" s="1600">
        <v>10430</v>
      </c>
      <c r="F209" s="1600">
        <v>6060000</v>
      </c>
      <c r="G209" s="1601" t="s">
        <v>2317</v>
      </c>
      <c r="H209" s="1602" t="s">
        <v>2349</v>
      </c>
      <c r="I209" s="1602" t="s">
        <v>2388</v>
      </c>
      <c r="J209" s="1602" t="s">
        <v>2319</v>
      </c>
      <c r="K209" s="1603" t="s">
        <v>2320</v>
      </c>
      <c r="L209" s="1603" t="s">
        <v>2320</v>
      </c>
      <c r="M209" s="1604">
        <v>27040000</v>
      </c>
      <c r="N209" s="1602" t="s">
        <v>2449</v>
      </c>
    </row>
    <row r="210" spans="1:14" ht="15">
      <c r="A210" s="1602" t="s">
        <v>2450</v>
      </c>
      <c r="B210" s="1598">
        <v>13</v>
      </c>
      <c r="C210" s="1602" t="s">
        <v>2451</v>
      </c>
      <c r="D210" s="1600">
        <v>1</v>
      </c>
      <c r="E210" s="1600">
        <v>10430</v>
      </c>
      <c r="F210" s="1600">
        <v>6060000</v>
      </c>
      <c r="G210" s="1601" t="s">
        <v>2317</v>
      </c>
      <c r="H210" s="1602" t="s">
        <v>2452</v>
      </c>
      <c r="I210" s="1602" t="s">
        <v>2388</v>
      </c>
      <c r="J210" s="1602" t="s">
        <v>2319</v>
      </c>
      <c r="K210" s="1603" t="s">
        <v>2320</v>
      </c>
      <c r="L210" s="1603" t="s">
        <v>2320</v>
      </c>
      <c r="M210" s="1604">
        <v>53900000</v>
      </c>
      <c r="N210" s="1602" t="s">
        <v>2453</v>
      </c>
    </row>
    <row r="211" spans="1:14" ht="15">
      <c r="A211" s="1602" t="s">
        <v>2454</v>
      </c>
      <c r="B211" s="1598">
        <v>13</v>
      </c>
      <c r="C211" s="1602" t="s">
        <v>2455</v>
      </c>
      <c r="D211" s="1600">
        <v>1</v>
      </c>
      <c r="E211" s="1600">
        <v>10430</v>
      </c>
      <c r="F211" s="1600">
        <v>6060000</v>
      </c>
      <c r="G211" s="1601" t="s">
        <v>2317</v>
      </c>
      <c r="H211" s="1602" t="s">
        <v>2397</v>
      </c>
      <c r="I211" s="1602" t="s">
        <v>2388</v>
      </c>
      <c r="J211" s="1602" t="s">
        <v>2319</v>
      </c>
      <c r="K211" s="1603" t="s">
        <v>2320</v>
      </c>
      <c r="L211" s="1603" t="s">
        <v>2320</v>
      </c>
      <c r="M211" s="1604">
        <v>183300000</v>
      </c>
      <c r="N211" s="1602" t="s">
        <v>2456</v>
      </c>
    </row>
    <row r="212" spans="1:14" ht="15">
      <c r="A212" s="1602" t="s">
        <v>2457</v>
      </c>
      <c r="B212" s="1598">
        <v>13</v>
      </c>
      <c r="C212" s="1602" t="s">
        <v>2458</v>
      </c>
      <c r="D212" s="1600">
        <v>1</v>
      </c>
      <c r="E212" s="1600">
        <v>10430</v>
      </c>
      <c r="F212" s="1600">
        <v>6060000</v>
      </c>
      <c r="G212" s="1601" t="s">
        <v>2317</v>
      </c>
      <c r="H212" s="1602" t="s">
        <v>2397</v>
      </c>
      <c r="I212" s="1602" t="s">
        <v>2388</v>
      </c>
      <c r="J212" s="1602" t="s">
        <v>2319</v>
      </c>
      <c r="K212" s="1603" t="s">
        <v>2320</v>
      </c>
      <c r="L212" s="1603" t="s">
        <v>2320</v>
      </c>
      <c r="M212" s="1604">
        <v>37700000</v>
      </c>
      <c r="N212" s="1602" t="s">
        <v>2459</v>
      </c>
    </row>
    <row r="213" spans="1:14" ht="15">
      <c r="A213" s="1602" t="s">
        <v>2460</v>
      </c>
      <c r="B213" s="1598">
        <v>13</v>
      </c>
      <c r="C213" s="1602" t="s">
        <v>2461</v>
      </c>
      <c r="D213" s="1600">
        <v>1</v>
      </c>
      <c r="E213" s="1600">
        <v>10430</v>
      </c>
      <c r="F213" s="1600">
        <v>6060000</v>
      </c>
      <c r="G213" s="1601" t="s">
        <v>2317</v>
      </c>
      <c r="H213" s="1602" t="s">
        <v>2397</v>
      </c>
      <c r="I213" s="1602" t="s">
        <v>2388</v>
      </c>
      <c r="J213" s="1602" t="s">
        <v>2319</v>
      </c>
      <c r="K213" s="1603" t="s">
        <v>2320</v>
      </c>
      <c r="L213" s="1603" t="s">
        <v>2320</v>
      </c>
      <c r="M213" s="1604">
        <v>24000000</v>
      </c>
      <c r="N213" s="1602" t="s">
        <v>2462</v>
      </c>
    </row>
    <row r="214" spans="1:14" ht="15">
      <c r="A214" s="1602" t="s">
        <v>2463</v>
      </c>
      <c r="B214" s="1598">
        <v>13</v>
      </c>
      <c r="C214" s="1602" t="s">
        <v>2464</v>
      </c>
      <c r="D214" s="1600">
        <v>1</v>
      </c>
      <c r="E214" s="1600">
        <v>10430</v>
      </c>
      <c r="F214" s="1600">
        <v>6060000</v>
      </c>
      <c r="G214" s="1601" t="s">
        <v>2317</v>
      </c>
      <c r="H214" s="1602" t="s">
        <v>2465</v>
      </c>
      <c r="I214" s="1602" t="s">
        <v>2388</v>
      </c>
      <c r="J214" s="1602" t="s">
        <v>2319</v>
      </c>
      <c r="K214" s="1603" t="s">
        <v>2320</v>
      </c>
      <c r="L214" s="1603" t="s">
        <v>2320</v>
      </c>
      <c r="M214" s="1604">
        <v>33000000</v>
      </c>
      <c r="N214" s="1602" t="s">
        <v>2466</v>
      </c>
    </row>
    <row r="215" spans="1:14" ht="15">
      <c r="A215" s="1602" t="s">
        <v>2467</v>
      </c>
      <c r="B215" s="1598">
        <v>13</v>
      </c>
      <c r="C215" s="1602" t="s">
        <v>2468</v>
      </c>
      <c r="D215" s="1600">
        <v>1</v>
      </c>
      <c r="E215" s="1600">
        <v>10430</v>
      </c>
      <c r="F215" s="1600">
        <v>6060000</v>
      </c>
      <c r="G215" s="1601" t="s">
        <v>2317</v>
      </c>
      <c r="H215" s="1602" t="s">
        <v>2469</v>
      </c>
      <c r="I215" s="1602" t="s">
        <v>2388</v>
      </c>
      <c r="J215" s="1602" t="s">
        <v>2319</v>
      </c>
      <c r="K215" s="1603" t="s">
        <v>2320</v>
      </c>
      <c r="L215" s="1603" t="s">
        <v>2320</v>
      </c>
      <c r="M215" s="1604">
        <v>39800000</v>
      </c>
      <c r="N215" s="1602" t="s">
        <v>2470</v>
      </c>
    </row>
    <row r="216" spans="1:14" ht="15">
      <c r="A216" s="1602" t="s">
        <v>2471</v>
      </c>
      <c r="B216" s="1598">
        <v>13</v>
      </c>
      <c r="C216" s="1602" t="s">
        <v>2472</v>
      </c>
      <c r="D216" s="1600">
        <v>1</v>
      </c>
      <c r="E216" s="1600">
        <v>10430</v>
      </c>
      <c r="F216" s="1600">
        <v>6060000</v>
      </c>
      <c r="G216" s="1601" t="s">
        <v>2317</v>
      </c>
      <c r="H216" s="1602" t="s">
        <v>2473</v>
      </c>
      <c r="I216" s="1602" t="s">
        <v>2388</v>
      </c>
      <c r="J216" s="1602" t="s">
        <v>2319</v>
      </c>
      <c r="K216" s="1603" t="s">
        <v>2320</v>
      </c>
      <c r="L216" s="1603" t="s">
        <v>2320</v>
      </c>
      <c r="M216" s="1604">
        <v>45700000</v>
      </c>
      <c r="N216" s="1602" t="s">
        <v>2474</v>
      </c>
    </row>
    <row r="217" spans="1:14" ht="15">
      <c r="A217" s="1602" t="s">
        <v>2475</v>
      </c>
      <c r="B217" s="1598">
        <v>13</v>
      </c>
      <c r="C217" s="1602" t="s">
        <v>2476</v>
      </c>
      <c r="D217" s="1600">
        <v>1</v>
      </c>
      <c r="E217" s="1600">
        <v>10430</v>
      </c>
      <c r="F217" s="1600">
        <v>6060000</v>
      </c>
      <c r="G217" s="1601" t="s">
        <v>2317</v>
      </c>
      <c r="H217" s="1602" t="s">
        <v>2473</v>
      </c>
      <c r="I217" s="1602" t="s">
        <v>2388</v>
      </c>
      <c r="J217" s="1602" t="s">
        <v>2319</v>
      </c>
      <c r="K217" s="1603" t="s">
        <v>2320</v>
      </c>
      <c r="L217" s="1603" t="s">
        <v>2320</v>
      </c>
      <c r="M217" s="1604">
        <v>33700000</v>
      </c>
      <c r="N217" s="1602" t="s">
        <v>2477</v>
      </c>
    </row>
    <row r="218" spans="1:14" ht="15">
      <c r="A218" s="1602" t="s">
        <v>2478</v>
      </c>
      <c r="B218" s="1598">
        <v>13</v>
      </c>
      <c r="C218" s="1602" t="s">
        <v>2479</v>
      </c>
      <c r="D218" s="1600">
        <v>1</v>
      </c>
      <c r="E218" s="1600">
        <v>10430</v>
      </c>
      <c r="F218" s="1600">
        <v>6060000</v>
      </c>
      <c r="G218" s="1601" t="s">
        <v>2317</v>
      </c>
      <c r="H218" s="1602" t="s">
        <v>2325</v>
      </c>
      <c r="I218" s="1602" t="s">
        <v>2388</v>
      </c>
      <c r="J218" s="1602" t="s">
        <v>2319</v>
      </c>
      <c r="K218" s="1603" t="s">
        <v>2320</v>
      </c>
      <c r="L218" s="1603" t="s">
        <v>2320</v>
      </c>
      <c r="M218" s="1604">
        <v>122100000</v>
      </c>
      <c r="N218" s="1602" t="s">
        <v>2480</v>
      </c>
    </row>
    <row r="219" spans="1:14" ht="15">
      <c r="A219" s="1602" t="s">
        <v>2481</v>
      </c>
      <c r="B219" s="1598">
        <v>13</v>
      </c>
      <c r="C219" s="1602" t="s">
        <v>2482</v>
      </c>
      <c r="D219" s="1600">
        <v>1</v>
      </c>
      <c r="E219" s="1600">
        <v>10430</v>
      </c>
      <c r="F219" s="1600">
        <v>6060000</v>
      </c>
      <c r="G219" s="1601" t="s">
        <v>2317</v>
      </c>
      <c r="H219" s="1602" t="s">
        <v>2325</v>
      </c>
      <c r="I219" s="1602" t="s">
        <v>2388</v>
      </c>
      <c r="J219" s="1602" t="s">
        <v>2319</v>
      </c>
      <c r="K219" s="1603" t="s">
        <v>2320</v>
      </c>
      <c r="L219" s="1603" t="s">
        <v>2320</v>
      </c>
      <c r="M219" s="1604">
        <v>28800000</v>
      </c>
      <c r="N219" s="1602" t="s">
        <v>2483</v>
      </c>
    </row>
    <row r="220" spans="1:14" ht="15">
      <c r="A220" s="1602" t="s">
        <v>2484</v>
      </c>
      <c r="B220" s="1598">
        <v>13</v>
      </c>
      <c r="C220" s="1602" t="s">
        <v>2485</v>
      </c>
      <c r="D220" s="1600">
        <v>1</v>
      </c>
      <c r="E220" s="1600">
        <v>10430</v>
      </c>
      <c r="F220" s="1600">
        <v>6060000</v>
      </c>
      <c r="G220" s="1601" t="s">
        <v>2317</v>
      </c>
      <c r="H220" s="1602" t="s">
        <v>2325</v>
      </c>
      <c r="I220" s="1602" t="s">
        <v>2388</v>
      </c>
      <c r="J220" s="1602" t="s">
        <v>2319</v>
      </c>
      <c r="K220" s="1603" t="s">
        <v>2320</v>
      </c>
      <c r="L220" s="1603" t="s">
        <v>2320</v>
      </c>
      <c r="M220" s="1604">
        <v>22600000</v>
      </c>
      <c r="N220" s="1602" t="s">
        <v>2486</v>
      </c>
    </row>
    <row r="221" spans="1:14" ht="15">
      <c r="A221" s="1602" t="s">
        <v>2487</v>
      </c>
      <c r="B221" s="1598">
        <v>13</v>
      </c>
      <c r="C221" s="1602" t="s">
        <v>2488</v>
      </c>
      <c r="D221" s="1600">
        <v>1</v>
      </c>
      <c r="E221" s="1600">
        <v>10430</v>
      </c>
      <c r="F221" s="1600">
        <v>6060000</v>
      </c>
      <c r="G221" s="1601" t="s">
        <v>2317</v>
      </c>
      <c r="H221" s="1602" t="s">
        <v>2489</v>
      </c>
      <c r="I221" s="1602" t="s">
        <v>2388</v>
      </c>
      <c r="J221" s="1602" t="s">
        <v>2319</v>
      </c>
      <c r="K221" s="1603" t="s">
        <v>2320</v>
      </c>
      <c r="L221" s="1603" t="s">
        <v>2320</v>
      </c>
      <c r="M221" s="1604">
        <v>84400000</v>
      </c>
      <c r="N221" s="1602" t="s">
        <v>2490</v>
      </c>
    </row>
    <row r="222" spans="1:14" ht="15">
      <c r="A222" s="1602" t="s">
        <v>2491</v>
      </c>
      <c r="B222" s="1598">
        <v>13</v>
      </c>
      <c r="C222" s="1602" t="s">
        <v>2492</v>
      </c>
      <c r="D222" s="1600">
        <v>1</v>
      </c>
      <c r="E222" s="1600">
        <v>10430</v>
      </c>
      <c r="F222" s="1600">
        <v>6060000</v>
      </c>
      <c r="G222" s="1601" t="s">
        <v>2317</v>
      </c>
      <c r="H222" s="1602" t="s">
        <v>2489</v>
      </c>
      <c r="I222" s="1602" t="s">
        <v>2388</v>
      </c>
      <c r="J222" s="1602" t="s">
        <v>2319</v>
      </c>
      <c r="K222" s="1603" t="s">
        <v>2320</v>
      </c>
      <c r="L222" s="1603" t="s">
        <v>2320</v>
      </c>
      <c r="M222" s="1604">
        <v>30300000</v>
      </c>
      <c r="N222" s="1602" t="s">
        <v>2493</v>
      </c>
    </row>
    <row r="223" spans="1:14" ht="15">
      <c r="A223" s="1602" t="s">
        <v>2494</v>
      </c>
      <c r="B223" s="1598">
        <v>13</v>
      </c>
      <c r="C223" s="1602" t="s">
        <v>2495</v>
      </c>
      <c r="D223" s="1600">
        <v>1</v>
      </c>
      <c r="E223" s="1600">
        <v>10430</v>
      </c>
      <c r="F223" s="1600">
        <v>6060000</v>
      </c>
      <c r="G223" s="1601" t="s">
        <v>2317</v>
      </c>
      <c r="H223" s="1602" t="s">
        <v>2496</v>
      </c>
      <c r="I223" s="1602" t="s">
        <v>2388</v>
      </c>
      <c r="J223" s="1602" t="s">
        <v>2319</v>
      </c>
      <c r="K223" s="1603" t="s">
        <v>2320</v>
      </c>
      <c r="L223" s="1603" t="s">
        <v>2320</v>
      </c>
      <c r="M223" s="1604">
        <v>31500000</v>
      </c>
      <c r="N223" s="1602" t="s">
        <v>2497</v>
      </c>
    </row>
    <row r="224" spans="1:14" ht="15">
      <c r="A224" s="1602" t="s">
        <v>148</v>
      </c>
      <c r="B224" s="1598">
        <v>13</v>
      </c>
      <c r="C224" s="1602" t="s">
        <v>2498</v>
      </c>
      <c r="D224" s="1600">
        <v>1</v>
      </c>
      <c r="E224" s="1600">
        <v>10430</v>
      </c>
      <c r="F224" s="1600">
        <v>6060000</v>
      </c>
      <c r="G224" s="1601" t="s">
        <v>2317</v>
      </c>
      <c r="H224" s="1602" t="s">
        <v>2499</v>
      </c>
      <c r="I224" s="1602" t="s">
        <v>2388</v>
      </c>
      <c r="J224" s="1602" t="s">
        <v>2319</v>
      </c>
      <c r="K224" s="1603" t="s">
        <v>2320</v>
      </c>
      <c r="L224" s="1603" t="s">
        <v>2320</v>
      </c>
      <c r="M224" s="1604">
        <v>24500000</v>
      </c>
      <c r="N224" s="1602" t="s">
        <v>2500</v>
      </c>
    </row>
    <row r="225" spans="1:14" ht="15">
      <c r="A225" s="1602" t="s">
        <v>2501</v>
      </c>
      <c r="B225" s="1598">
        <v>13</v>
      </c>
      <c r="C225" s="1602" t="s">
        <v>2502</v>
      </c>
      <c r="D225" s="1600">
        <v>1</v>
      </c>
      <c r="E225" s="1600">
        <v>10430</v>
      </c>
      <c r="F225" s="1600">
        <v>6060000</v>
      </c>
      <c r="G225" s="1601" t="s">
        <v>2317</v>
      </c>
      <c r="H225" s="1602" t="s">
        <v>2499</v>
      </c>
      <c r="I225" s="1602" t="s">
        <v>2388</v>
      </c>
      <c r="J225" s="1602" t="s">
        <v>2319</v>
      </c>
      <c r="K225" s="1603" t="s">
        <v>2320</v>
      </c>
      <c r="L225" s="1603" t="s">
        <v>2320</v>
      </c>
      <c r="M225" s="1604">
        <v>3900000</v>
      </c>
      <c r="N225" s="1602" t="s">
        <v>2503</v>
      </c>
    </row>
    <row r="226" spans="1:14" ht="15">
      <c r="A226" s="1602" t="s">
        <v>2504</v>
      </c>
      <c r="B226" s="1598">
        <v>13</v>
      </c>
      <c r="C226" s="1602" t="s">
        <v>2505</v>
      </c>
      <c r="D226" s="1600">
        <v>1</v>
      </c>
      <c r="E226" s="1600">
        <v>10430</v>
      </c>
      <c r="F226" s="1600">
        <v>6060000</v>
      </c>
      <c r="G226" s="1601" t="s">
        <v>2317</v>
      </c>
      <c r="H226" s="1602" t="s">
        <v>2506</v>
      </c>
      <c r="I226" s="1602" t="s">
        <v>2388</v>
      </c>
      <c r="J226" s="1602" t="s">
        <v>2319</v>
      </c>
      <c r="K226" s="1603" t="s">
        <v>2320</v>
      </c>
      <c r="L226" s="1603" t="s">
        <v>2320</v>
      </c>
      <c r="M226" s="1604">
        <v>14300000</v>
      </c>
      <c r="N226" s="1602" t="s">
        <v>2507</v>
      </c>
    </row>
    <row r="227" spans="1:14" ht="15">
      <c r="A227" s="1602" t="s">
        <v>2508</v>
      </c>
      <c r="B227" s="1598">
        <v>13</v>
      </c>
      <c r="C227" s="1602" t="s">
        <v>2509</v>
      </c>
      <c r="D227" s="1600">
        <v>1</v>
      </c>
      <c r="E227" s="1600">
        <v>10430</v>
      </c>
      <c r="F227" s="1600">
        <v>6060000</v>
      </c>
      <c r="G227" s="1601" t="s">
        <v>2317</v>
      </c>
      <c r="H227" s="1602" t="s">
        <v>2506</v>
      </c>
      <c r="I227" s="1602" t="s">
        <v>2388</v>
      </c>
      <c r="J227" s="1602" t="s">
        <v>2319</v>
      </c>
      <c r="K227" s="1603" t="s">
        <v>2320</v>
      </c>
      <c r="L227" s="1603" t="s">
        <v>2320</v>
      </c>
      <c r="M227" s="1604">
        <v>17000000</v>
      </c>
      <c r="N227" s="1602" t="s">
        <v>2510</v>
      </c>
    </row>
    <row r="228" spans="1:14" ht="15">
      <c r="A228" s="1602" t="s">
        <v>2511</v>
      </c>
      <c r="B228" s="1598">
        <v>13</v>
      </c>
      <c r="C228" s="1602" t="s">
        <v>2512</v>
      </c>
      <c r="D228" s="1600">
        <v>1</v>
      </c>
      <c r="E228" s="1600">
        <v>10430</v>
      </c>
      <c r="F228" s="1600">
        <v>6060000</v>
      </c>
      <c r="G228" s="1601" t="s">
        <v>2317</v>
      </c>
      <c r="H228" s="1602" t="s">
        <v>2513</v>
      </c>
      <c r="I228" s="1602" t="s">
        <v>2388</v>
      </c>
      <c r="J228" s="1602" t="s">
        <v>2319</v>
      </c>
      <c r="K228" s="1603" t="s">
        <v>2320</v>
      </c>
      <c r="L228" s="1603" t="s">
        <v>2320</v>
      </c>
      <c r="M228" s="1604">
        <v>13200000</v>
      </c>
      <c r="N228" s="1602" t="s">
        <v>2514</v>
      </c>
    </row>
    <row r="229" spans="1:14" ht="15">
      <c r="A229" s="1602" t="s">
        <v>2515</v>
      </c>
      <c r="B229" s="1598">
        <v>13</v>
      </c>
      <c r="C229" s="1602" t="s">
        <v>2516</v>
      </c>
      <c r="D229" s="1600">
        <v>1</v>
      </c>
      <c r="E229" s="1600">
        <v>10430</v>
      </c>
      <c r="F229" s="1600">
        <v>6060000</v>
      </c>
      <c r="G229" s="1601" t="s">
        <v>2317</v>
      </c>
      <c r="H229" s="1602" t="s">
        <v>2513</v>
      </c>
      <c r="I229" s="1602" t="s">
        <v>2388</v>
      </c>
      <c r="J229" s="1602" t="s">
        <v>2319</v>
      </c>
      <c r="K229" s="1603" t="s">
        <v>2320</v>
      </c>
      <c r="L229" s="1603" t="s">
        <v>2320</v>
      </c>
      <c r="M229" s="1604">
        <v>9600000</v>
      </c>
      <c r="N229" s="1602" t="s">
        <v>2517</v>
      </c>
    </row>
    <row r="230" spans="1:14" ht="15">
      <c r="A230" s="1608" t="s">
        <v>2518</v>
      </c>
      <c r="B230" s="1598">
        <v>13</v>
      </c>
      <c r="C230" s="1608" t="s">
        <v>2519</v>
      </c>
      <c r="D230" s="1600">
        <v>1</v>
      </c>
      <c r="E230" s="1600">
        <v>10430</v>
      </c>
      <c r="F230" s="1600">
        <v>6060000</v>
      </c>
      <c r="G230" s="1601" t="s">
        <v>2317</v>
      </c>
      <c r="H230" s="1608" t="s">
        <v>2499</v>
      </c>
      <c r="I230" s="1602" t="s">
        <v>2388</v>
      </c>
      <c r="J230" s="1602" t="s">
        <v>2319</v>
      </c>
      <c r="K230" s="1603" t="s">
        <v>2320</v>
      </c>
      <c r="L230" s="1603" t="s">
        <v>2320</v>
      </c>
      <c r="M230" s="1604">
        <v>6000000</v>
      </c>
      <c r="N230" s="1608" t="s">
        <v>2520</v>
      </c>
    </row>
    <row r="231" spans="1:14" ht="15">
      <c r="A231" s="1602" t="s">
        <v>2521</v>
      </c>
      <c r="B231" s="1598">
        <v>13</v>
      </c>
      <c r="C231" s="1602" t="s">
        <v>2522</v>
      </c>
      <c r="D231" s="1600">
        <v>1</v>
      </c>
      <c r="E231" s="1600">
        <v>10430</v>
      </c>
      <c r="F231" s="1600">
        <v>6060000</v>
      </c>
      <c r="G231" s="1601" t="s">
        <v>2317</v>
      </c>
      <c r="H231" s="1602" t="s">
        <v>2523</v>
      </c>
      <c r="I231" s="1602" t="s">
        <v>2388</v>
      </c>
      <c r="J231" s="1602" t="s">
        <v>2319</v>
      </c>
      <c r="K231" s="1603" t="s">
        <v>2320</v>
      </c>
      <c r="L231" s="1603" t="s">
        <v>2320</v>
      </c>
      <c r="M231" s="1604">
        <v>87500000</v>
      </c>
      <c r="N231" s="1602" t="s">
        <v>2524</v>
      </c>
    </row>
    <row r="232" spans="1:14" ht="15">
      <c r="A232" s="1602" t="s">
        <v>2525</v>
      </c>
      <c r="B232" s="1598">
        <v>13</v>
      </c>
      <c r="C232" s="1602" t="s">
        <v>2526</v>
      </c>
      <c r="D232" s="1600">
        <v>1</v>
      </c>
      <c r="E232" s="1600">
        <v>10430</v>
      </c>
      <c r="F232" s="1600">
        <v>6060000</v>
      </c>
      <c r="G232" s="1601" t="s">
        <v>2317</v>
      </c>
      <c r="H232" s="1602" t="s">
        <v>2523</v>
      </c>
      <c r="I232" s="1602" t="s">
        <v>2388</v>
      </c>
      <c r="J232" s="1602" t="s">
        <v>2319</v>
      </c>
      <c r="K232" s="1603" t="s">
        <v>2320</v>
      </c>
      <c r="L232" s="1603" t="s">
        <v>2320</v>
      </c>
      <c r="M232" s="1604">
        <v>40400000</v>
      </c>
      <c r="N232" s="1602" t="s">
        <v>2527</v>
      </c>
    </row>
    <row r="233" spans="1:14" ht="15">
      <c r="A233" s="1608" t="s">
        <v>2528</v>
      </c>
      <c r="B233" s="1598">
        <v>13</v>
      </c>
      <c r="C233" s="1608" t="s">
        <v>2529</v>
      </c>
      <c r="D233" s="1600">
        <v>1</v>
      </c>
      <c r="E233" s="1600">
        <v>10430</v>
      </c>
      <c r="F233" s="1600">
        <v>6060000</v>
      </c>
      <c r="G233" s="1601" t="s">
        <v>2317</v>
      </c>
      <c r="H233" s="1608" t="s">
        <v>2523</v>
      </c>
      <c r="I233" s="1602" t="s">
        <v>2388</v>
      </c>
      <c r="J233" s="1602" t="s">
        <v>2319</v>
      </c>
      <c r="K233" s="1603" t="s">
        <v>2320</v>
      </c>
      <c r="L233" s="1603" t="s">
        <v>2320</v>
      </c>
      <c r="M233" s="1604">
        <v>2200000</v>
      </c>
      <c r="N233" s="1608" t="s">
        <v>2530</v>
      </c>
    </row>
    <row r="234" spans="1:14" ht="15">
      <c r="A234" s="1602" t="s">
        <v>2531</v>
      </c>
      <c r="B234" s="1598">
        <v>13</v>
      </c>
      <c r="C234" s="1602" t="s">
        <v>2532</v>
      </c>
      <c r="D234" s="1600">
        <v>1</v>
      </c>
      <c r="E234" s="1600">
        <v>10430</v>
      </c>
      <c r="F234" s="1600">
        <v>6060000</v>
      </c>
      <c r="G234" s="1601" t="s">
        <v>2317</v>
      </c>
      <c r="H234" s="1602" t="s">
        <v>2533</v>
      </c>
      <c r="I234" s="1602" t="s">
        <v>2388</v>
      </c>
      <c r="J234" s="1602" t="s">
        <v>2319</v>
      </c>
      <c r="K234" s="1603" t="s">
        <v>2320</v>
      </c>
      <c r="L234" s="1603" t="s">
        <v>2320</v>
      </c>
      <c r="M234" s="1604">
        <v>16200000</v>
      </c>
      <c r="N234" s="1602" t="s">
        <v>2534</v>
      </c>
    </row>
    <row r="235" spans="1:14" ht="15">
      <c r="A235" s="1602" t="s">
        <v>2535</v>
      </c>
      <c r="B235" s="1598">
        <v>13</v>
      </c>
      <c r="C235" s="1602" t="s">
        <v>2536</v>
      </c>
      <c r="D235" s="1600">
        <v>1</v>
      </c>
      <c r="E235" s="1600">
        <v>10430</v>
      </c>
      <c r="F235" s="1600">
        <v>6060000</v>
      </c>
      <c r="G235" s="1601" t="s">
        <v>2317</v>
      </c>
      <c r="H235" s="1602" t="s">
        <v>2537</v>
      </c>
      <c r="I235" s="1602" t="s">
        <v>2388</v>
      </c>
      <c r="J235" s="1602" t="s">
        <v>2319</v>
      </c>
      <c r="K235" s="1603" t="s">
        <v>2320</v>
      </c>
      <c r="L235" s="1603" t="s">
        <v>2320</v>
      </c>
      <c r="M235" s="1604">
        <v>23500000</v>
      </c>
      <c r="N235" s="1602" t="s">
        <v>2538</v>
      </c>
    </row>
    <row r="236" spans="1:14" ht="15">
      <c r="A236" s="1602" t="s">
        <v>2539</v>
      </c>
      <c r="B236" s="1598">
        <v>13</v>
      </c>
      <c r="C236" s="1602" t="s">
        <v>2540</v>
      </c>
      <c r="D236" s="1600">
        <v>1</v>
      </c>
      <c r="E236" s="1600">
        <v>10430</v>
      </c>
      <c r="F236" s="1600">
        <v>6060000</v>
      </c>
      <c r="G236" s="1601" t="s">
        <v>2317</v>
      </c>
      <c r="H236" s="1602" t="s">
        <v>2541</v>
      </c>
      <c r="I236" s="1602" t="s">
        <v>2388</v>
      </c>
      <c r="J236" s="1602" t="s">
        <v>2319</v>
      </c>
      <c r="K236" s="1603" t="s">
        <v>2320</v>
      </c>
      <c r="L236" s="1603" t="s">
        <v>2320</v>
      </c>
      <c r="M236" s="1604">
        <v>87500000</v>
      </c>
      <c r="N236" s="1602" t="s">
        <v>2542</v>
      </c>
    </row>
    <row r="237" spans="1:14" ht="15">
      <c r="A237" s="1602">
        <v>113</v>
      </c>
      <c r="B237" s="1598">
        <v>13</v>
      </c>
      <c r="C237" s="1602" t="s">
        <v>2543</v>
      </c>
      <c r="D237" s="1600">
        <v>1</v>
      </c>
      <c r="E237" s="1600">
        <v>10430</v>
      </c>
      <c r="F237" s="1600">
        <v>6060000</v>
      </c>
      <c r="G237" s="1601" t="s">
        <v>2317</v>
      </c>
      <c r="H237" s="1602" t="s">
        <v>2544</v>
      </c>
      <c r="I237" s="1602" t="s">
        <v>2388</v>
      </c>
      <c r="J237" s="1602" t="s">
        <v>2319</v>
      </c>
      <c r="K237" s="1603" t="s">
        <v>2320</v>
      </c>
      <c r="L237" s="1603" t="s">
        <v>2320</v>
      </c>
      <c r="M237" s="1604">
        <v>50000000</v>
      </c>
      <c r="N237" s="1602" t="s">
        <v>2545</v>
      </c>
    </row>
    <row r="238" spans="1:14" ht="15">
      <c r="A238" s="1602" t="s">
        <v>2546</v>
      </c>
      <c r="B238" s="1598">
        <v>13</v>
      </c>
      <c r="C238" s="1602" t="s">
        <v>2547</v>
      </c>
      <c r="D238" s="1600">
        <v>1</v>
      </c>
      <c r="E238" s="1600">
        <v>10430</v>
      </c>
      <c r="F238" s="1600">
        <v>6060000</v>
      </c>
      <c r="G238" s="1601" t="s">
        <v>2317</v>
      </c>
      <c r="H238" s="1602" t="s">
        <v>2548</v>
      </c>
      <c r="I238" s="1602" t="s">
        <v>2388</v>
      </c>
      <c r="J238" s="1602" t="s">
        <v>2319</v>
      </c>
      <c r="K238" s="1603" t="s">
        <v>2320</v>
      </c>
      <c r="L238" s="1603" t="s">
        <v>2320</v>
      </c>
      <c r="M238" s="1604">
        <v>16200000</v>
      </c>
      <c r="N238" s="1602" t="s">
        <v>2549</v>
      </c>
    </row>
    <row r="239" spans="1:14" ht="15">
      <c r="A239" s="1602" t="s">
        <v>2550</v>
      </c>
      <c r="B239" s="1598">
        <v>13</v>
      </c>
      <c r="C239" s="1602" t="s">
        <v>2551</v>
      </c>
      <c r="D239" s="1600">
        <v>1</v>
      </c>
      <c r="E239" s="1600">
        <v>10430</v>
      </c>
      <c r="F239" s="1600">
        <v>6060000</v>
      </c>
      <c r="G239" s="1601" t="s">
        <v>2317</v>
      </c>
      <c r="H239" s="1602" t="s">
        <v>2552</v>
      </c>
      <c r="I239" s="1602" t="s">
        <v>2388</v>
      </c>
      <c r="J239" s="1602" t="s">
        <v>2319</v>
      </c>
      <c r="K239" s="1603" t="s">
        <v>2320</v>
      </c>
      <c r="L239" s="1603" t="s">
        <v>2320</v>
      </c>
      <c r="M239" s="1604">
        <v>33500000</v>
      </c>
      <c r="N239" s="1602" t="s">
        <v>2553</v>
      </c>
    </row>
    <row r="240" spans="1:14" ht="15">
      <c r="A240" s="1602" t="s">
        <v>2554</v>
      </c>
      <c r="B240" s="1598">
        <v>13</v>
      </c>
      <c r="C240" s="1602" t="s">
        <v>2555</v>
      </c>
      <c r="D240" s="1600">
        <v>1</v>
      </c>
      <c r="E240" s="1600">
        <v>10430</v>
      </c>
      <c r="F240" s="1600">
        <v>6060000</v>
      </c>
      <c r="G240" s="1601" t="s">
        <v>2317</v>
      </c>
      <c r="H240" s="1602" t="s">
        <v>2556</v>
      </c>
      <c r="I240" s="1602" t="s">
        <v>2388</v>
      </c>
      <c r="J240" s="1602" t="s">
        <v>2319</v>
      </c>
      <c r="K240" s="1603" t="s">
        <v>2320</v>
      </c>
      <c r="L240" s="1603" t="s">
        <v>2320</v>
      </c>
      <c r="M240" s="1604">
        <v>77700000</v>
      </c>
      <c r="N240" s="1602" t="s">
        <v>2557</v>
      </c>
    </row>
    <row r="241" spans="1:14" ht="15">
      <c r="A241" s="1602" t="s">
        <v>2558</v>
      </c>
      <c r="B241" s="1598">
        <v>13</v>
      </c>
      <c r="C241" s="1602" t="s">
        <v>2559</v>
      </c>
      <c r="D241" s="1600">
        <v>1</v>
      </c>
      <c r="E241" s="1600">
        <v>10430</v>
      </c>
      <c r="F241" s="1600">
        <v>6060000</v>
      </c>
      <c r="G241" s="1601" t="s">
        <v>2317</v>
      </c>
      <c r="H241" s="1602" t="s">
        <v>2560</v>
      </c>
      <c r="I241" s="1602" t="s">
        <v>2388</v>
      </c>
      <c r="J241" s="1602" t="s">
        <v>2319</v>
      </c>
      <c r="K241" s="1603" t="s">
        <v>2320</v>
      </c>
      <c r="L241" s="1603" t="s">
        <v>2320</v>
      </c>
      <c r="M241" s="1604">
        <v>30700000</v>
      </c>
      <c r="N241" s="1602" t="s">
        <v>2561</v>
      </c>
    </row>
    <row r="242" spans="1:14" ht="15">
      <c r="A242" s="1602" t="s">
        <v>2562</v>
      </c>
      <c r="B242" s="1598">
        <v>13</v>
      </c>
      <c r="C242" s="1602" t="s">
        <v>2563</v>
      </c>
      <c r="D242" s="1600">
        <v>1</v>
      </c>
      <c r="E242" s="1600">
        <v>10430</v>
      </c>
      <c r="F242" s="1600">
        <v>6060000</v>
      </c>
      <c r="G242" s="1601" t="s">
        <v>2317</v>
      </c>
      <c r="H242" s="1602" t="s">
        <v>2564</v>
      </c>
      <c r="I242" s="1602" t="s">
        <v>2388</v>
      </c>
      <c r="J242" s="1602" t="s">
        <v>2319</v>
      </c>
      <c r="K242" s="1603" t="s">
        <v>2320</v>
      </c>
      <c r="L242" s="1603" t="s">
        <v>2320</v>
      </c>
      <c r="M242" s="1604">
        <v>58600000</v>
      </c>
      <c r="N242" s="1602" t="s">
        <v>2565</v>
      </c>
    </row>
    <row r="243" spans="1:14" ht="15">
      <c r="A243" s="1602" t="s">
        <v>2566</v>
      </c>
      <c r="B243" s="1598">
        <v>13</v>
      </c>
      <c r="C243" s="1602" t="s">
        <v>2567</v>
      </c>
      <c r="D243" s="1600">
        <v>1</v>
      </c>
      <c r="E243" s="1600">
        <v>10430</v>
      </c>
      <c r="F243" s="1600">
        <v>6060000</v>
      </c>
      <c r="G243" s="1601" t="s">
        <v>2317</v>
      </c>
      <c r="H243" s="1602" t="s">
        <v>2568</v>
      </c>
      <c r="I243" s="1602" t="s">
        <v>2388</v>
      </c>
      <c r="J243" s="1602" t="s">
        <v>2319</v>
      </c>
      <c r="K243" s="1603" t="s">
        <v>2320</v>
      </c>
      <c r="L243" s="1603" t="s">
        <v>2320</v>
      </c>
      <c r="M243" s="1604">
        <v>29700000</v>
      </c>
      <c r="N243" s="1602" t="s">
        <v>2569</v>
      </c>
    </row>
    <row r="244" spans="1:14" ht="15">
      <c r="A244" s="1602" t="s">
        <v>2570</v>
      </c>
      <c r="B244" s="1598">
        <v>13</v>
      </c>
      <c r="C244" s="1602" t="s">
        <v>2571</v>
      </c>
      <c r="D244" s="1600">
        <v>1</v>
      </c>
      <c r="E244" s="1600">
        <v>10430</v>
      </c>
      <c r="F244" s="1600">
        <v>6060000</v>
      </c>
      <c r="G244" s="1601" t="s">
        <v>2317</v>
      </c>
      <c r="H244" s="1602" t="s">
        <v>2572</v>
      </c>
      <c r="I244" s="1602" t="s">
        <v>2388</v>
      </c>
      <c r="J244" s="1602" t="s">
        <v>2319</v>
      </c>
      <c r="K244" s="1603" t="s">
        <v>2320</v>
      </c>
      <c r="L244" s="1603" t="s">
        <v>2320</v>
      </c>
      <c r="M244" s="1604">
        <v>136200000</v>
      </c>
      <c r="N244" s="1602" t="s">
        <v>2573</v>
      </c>
    </row>
    <row r="245" spans="1:14" ht="15">
      <c r="A245" s="1602" t="s">
        <v>2574</v>
      </c>
      <c r="B245" s="1598">
        <v>13</v>
      </c>
      <c r="C245" s="1602" t="s">
        <v>2575</v>
      </c>
      <c r="D245" s="1600">
        <v>1</v>
      </c>
      <c r="E245" s="1600">
        <v>10430</v>
      </c>
      <c r="F245" s="1600">
        <v>6060000</v>
      </c>
      <c r="G245" s="1601" t="s">
        <v>2317</v>
      </c>
      <c r="H245" s="1602" t="s">
        <v>2572</v>
      </c>
      <c r="I245" s="1602" t="s">
        <v>2388</v>
      </c>
      <c r="J245" s="1602" t="s">
        <v>2319</v>
      </c>
      <c r="K245" s="1603" t="s">
        <v>2320</v>
      </c>
      <c r="L245" s="1603" t="s">
        <v>2320</v>
      </c>
      <c r="M245" s="1604">
        <v>31800000</v>
      </c>
      <c r="N245" s="1602" t="s">
        <v>2576</v>
      </c>
    </row>
    <row r="246" spans="1:14" ht="15">
      <c r="A246" s="1602" t="s">
        <v>2577</v>
      </c>
      <c r="B246" s="1598">
        <v>13</v>
      </c>
      <c r="C246" s="1602" t="s">
        <v>2578</v>
      </c>
      <c r="D246" s="1600">
        <v>1</v>
      </c>
      <c r="E246" s="1600">
        <v>10430</v>
      </c>
      <c r="F246" s="1600">
        <v>6060000</v>
      </c>
      <c r="G246" s="1601" t="s">
        <v>2317</v>
      </c>
      <c r="H246" s="1602" t="s">
        <v>2579</v>
      </c>
      <c r="I246" s="1602" t="s">
        <v>2388</v>
      </c>
      <c r="J246" s="1602" t="s">
        <v>2319</v>
      </c>
      <c r="K246" s="1603" t="s">
        <v>2320</v>
      </c>
      <c r="L246" s="1603" t="s">
        <v>2320</v>
      </c>
      <c r="M246" s="1604">
        <v>11500000</v>
      </c>
      <c r="N246" s="1602" t="s">
        <v>2580</v>
      </c>
    </row>
    <row r="247" spans="1:14" ht="15">
      <c r="A247" s="1602" t="s">
        <v>2581</v>
      </c>
      <c r="B247" s="1598">
        <v>13</v>
      </c>
      <c r="C247" s="1602" t="s">
        <v>2582</v>
      </c>
      <c r="D247" s="1600">
        <v>1</v>
      </c>
      <c r="E247" s="1600">
        <v>10430</v>
      </c>
      <c r="F247" s="1600">
        <v>6060000</v>
      </c>
      <c r="G247" s="1601" t="s">
        <v>2317</v>
      </c>
      <c r="H247" s="1602" t="s">
        <v>2579</v>
      </c>
      <c r="I247" s="1602" t="s">
        <v>2388</v>
      </c>
      <c r="J247" s="1602" t="s">
        <v>2319</v>
      </c>
      <c r="K247" s="1603" t="s">
        <v>2320</v>
      </c>
      <c r="L247" s="1603" t="s">
        <v>2320</v>
      </c>
      <c r="M247" s="1604">
        <v>10100000</v>
      </c>
      <c r="N247" s="1602" t="s">
        <v>2583</v>
      </c>
    </row>
    <row r="248" spans="1:14" ht="15">
      <c r="A248" s="1602" t="s">
        <v>2584</v>
      </c>
      <c r="B248" s="1598">
        <v>13</v>
      </c>
      <c r="C248" s="1602" t="s">
        <v>2585</v>
      </c>
      <c r="D248" s="1600">
        <v>1</v>
      </c>
      <c r="E248" s="1600">
        <v>10430</v>
      </c>
      <c r="F248" s="1600">
        <v>6060000</v>
      </c>
      <c r="G248" s="1601" t="s">
        <v>2317</v>
      </c>
      <c r="H248" s="1602" t="s">
        <v>2372</v>
      </c>
      <c r="I248" s="1602" t="s">
        <v>2388</v>
      </c>
      <c r="J248" s="1602" t="s">
        <v>2319</v>
      </c>
      <c r="K248" s="1603" t="s">
        <v>2320</v>
      </c>
      <c r="L248" s="1603" t="s">
        <v>2320</v>
      </c>
      <c r="M248" s="1604">
        <v>388100000</v>
      </c>
      <c r="N248" s="1602" t="s">
        <v>2586</v>
      </c>
    </row>
    <row r="249" spans="1:14" ht="15">
      <c r="A249" s="1602" t="s">
        <v>2587</v>
      </c>
      <c r="B249" s="1598">
        <v>13</v>
      </c>
      <c r="C249" s="1602" t="s">
        <v>2588</v>
      </c>
      <c r="D249" s="1600">
        <v>1</v>
      </c>
      <c r="E249" s="1600">
        <v>10430</v>
      </c>
      <c r="F249" s="1600">
        <v>6060000</v>
      </c>
      <c r="G249" s="1601" t="s">
        <v>2317</v>
      </c>
      <c r="H249" s="1602" t="s">
        <v>2372</v>
      </c>
      <c r="I249" s="1602" t="s">
        <v>2388</v>
      </c>
      <c r="J249" s="1602" t="s">
        <v>2319</v>
      </c>
      <c r="K249" s="1603" t="s">
        <v>2320</v>
      </c>
      <c r="L249" s="1603" t="s">
        <v>2320</v>
      </c>
      <c r="M249" s="1604">
        <v>69700000</v>
      </c>
      <c r="N249" s="1602" t="s">
        <v>2589</v>
      </c>
    </row>
    <row r="250" spans="1:14" ht="15">
      <c r="A250" s="1602" t="s">
        <v>2590</v>
      </c>
      <c r="B250" s="1598">
        <v>13</v>
      </c>
      <c r="C250" s="1602" t="s">
        <v>2591</v>
      </c>
      <c r="D250" s="1600">
        <v>1</v>
      </c>
      <c r="E250" s="1600">
        <v>10430</v>
      </c>
      <c r="F250" s="1600">
        <v>6060000</v>
      </c>
      <c r="G250" s="1601" t="s">
        <v>2317</v>
      </c>
      <c r="H250" s="1602" t="s">
        <v>2372</v>
      </c>
      <c r="I250" s="1602" t="s">
        <v>2388</v>
      </c>
      <c r="J250" s="1602" t="s">
        <v>2319</v>
      </c>
      <c r="K250" s="1603" t="s">
        <v>2320</v>
      </c>
      <c r="L250" s="1603" t="s">
        <v>2320</v>
      </c>
      <c r="M250" s="1604">
        <v>19200000</v>
      </c>
      <c r="N250" s="1602" t="s">
        <v>2592</v>
      </c>
    </row>
    <row r="251" spans="1:14" ht="15">
      <c r="A251" s="1602" t="s">
        <v>2593</v>
      </c>
      <c r="B251" s="1598">
        <v>13</v>
      </c>
      <c r="C251" s="1602" t="s">
        <v>2594</v>
      </c>
      <c r="D251" s="1600">
        <v>1</v>
      </c>
      <c r="E251" s="1600">
        <v>10430</v>
      </c>
      <c r="F251" s="1600">
        <v>6060000</v>
      </c>
      <c r="G251" s="1601" t="s">
        <v>2317</v>
      </c>
      <c r="H251" s="1602" t="s">
        <v>2595</v>
      </c>
      <c r="I251" s="1602" t="s">
        <v>2388</v>
      </c>
      <c r="J251" s="1602" t="s">
        <v>2319</v>
      </c>
      <c r="K251" s="1603" t="s">
        <v>2320</v>
      </c>
      <c r="L251" s="1603" t="s">
        <v>2320</v>
      </c>
      <c r="M251" s="1604">
        <v>40300000</v>
      </c>
      <c r="N251" s="1602" t="s">
        <v>2596</v>
      </c>
    </row>
    <row r="252" spans="1:14" ht="15">
      <c r="A252" s="1602" t="s">
        <v>2597</v>
      </c>
      <c r="B252" s="1598">
        <v>13</v>
      </c>
      <c r="C252" s="1602" t="s">
        <v>2598</v>
      </c>
      <c r="D252" s="1600">
        <v>1</v>
      </c>
      <c r="E252" s="1600">
        <v>10430</v>
      </c>
      <c r="F252" s="1600">
        <v>6060000</v>
      </c>
      <c r="G252" s="1601" t="s">
        <v>2317</v>
      </c>
      <c r="H252" s="1602" t="s">
        <v>2595</v>
      </c>
      <c r="I252" s="1602" t="s">
        <v>2388</v>
      </c>
      <c r="J252" s="1602" t="s">
        <v>2319</v>
      </c>
      <c r="K252" s="1603" t="s">
        <v>2320</v>
      </c>
      <c r="L252" s="1603" t="s">
        <v>2320</v>
      </c>
      <c r="M252" s="1604">
        <v>17700000</v>
      </c>
      <c r="N252" s="1602" t="s">
        <v>2599</v>
      </c>
    </row>
    <row r="253" spans="1:14" ht="15">
      <c r="A253" s="1602" t="s">
        <v>2600</v>
      </c>
      <c r="B253" s="1598">
        <v>13</v>
      </c>
      <c r="C253" s="1602" t="s">
        <v>2601</v>
      </c>
      <c r="D253" s="1600">
        <v>1</v>
      </c>
      <c r="E253" s="1600">
        <v>10430</v>
      </c>
      <c r="F253" s="1600">
        <v>6060000</v>
      </c>
      <c r="G253" s="1601" t="s">
        <v>2317</v>
      </c>
      <c r="H253" s="1602" t="s">
        <v>2336</v>
      </c>
      <c r="I253" s="1602" t="s">
        <v>2388</v>
      </c>
      <c r="J253" s="1602" t="s">
        <v>2319</v>
      </c>
      <c r="K253" s="1603" t="s">
        <v>2320</v>
      </c>
      <c r="L253" s="1603" t="s">
        <v>2320</v>
      </c>
      <c r="M253" s="1604">
        <v>105700000</v>
      </c>
      <c r="N253" s="1602" t="s">
        <v>2602</v>
      </c>
    </row>
    <row r="254" spans="1:14" ht="15">
      <c r="A254" s="1602" t="s">
        <v>2603</v>
      </c>
      <c r="B254" s="1598">
        <v>13</v>
      </c>
      <c r="C254" s="1602" t="s">
        <v>2604</v>
      </c>
      <c r="D254" s="1600">
        <v>1</v>
      </c>
      <c r="E254" s="1600">
        <v>10430</v>
      </c>
      <c r="F254" s="1600">
        <v>6060000</v>
      </c>
      <c r="G254" s="1601" t="s">
        <v>2317</v>
      </c>
      <c r="H254" s="1602" t="s">
        <v>2336</v>
      </c>
      <c r="I254" s="1602" t="s">
        <v>2388</v>
      </c>
      <c r="J254" s="1602" t="s">
        <v>2319</v>
      </c>
      <c r="K254" s="1603" t="s">
        <v>2320</v>
      </c>
      <c r="L254" s="1603" t="s">
        <v>2320</v>
      </c>
      <c r="M254" s="1604">
        <v>21000000</v>
      </c>
      <c r="N254" s="1602" t="s">
        <v>2605</v>
      </c>
    </row>
    <row r="255" spans="1:14" ht="15">
      <c r="A255" s="1602" t="s">
        <v>2606</v>
      </c>
      <c r="B255" s="1598">
        <v>13</v>
      </c>
      <c r="C255" s="1602" t="s">
        <v>2607</v>
      </c>
      <c r="D255" s="1600">
        <v>1</v>
      </c>
      <c r="E255" s="1600">
        <v>10430</v>
      </c>
      <c r="F255" s="1600">
        <v>6060000</v>
      </c>
      <c r="G255" s="1601" t="s">
        <v>2317</v>
      </c>
      <c r="H255" s="1602" t="s">
        <v>2336</v>
      </c>
      <c r="I255" s="1602" t="s">
        <v>2388</v>
      </c>
      <c r="J255" s="1602" t="s">
        <v>2319</v>
      </c>
      <c r="K255" s="1603" t="s">
        <v>2320</v>
      </c>
      <c r="L255" s="1603" t="s">
        <v>2320</v>
      </c>
      <c r="M255" s="1604">
        <v>10500000</v>
      </c>
      <c r="N255" s="1602" t="s">
        <v>2608</v>
      </c>
    </row>
    <row r="256" spans="1:14" ht="15">
      <c r="A256" s="1602" t="s">
        <v>2609</v>
      </c>
      <c r="B256" s="1598">
        <v>13</v>
      </c>
      <c r="C256" s="1602" t="s">
        <v>2610</v>
      </c>
      <c r="D256" s="1600">
        <v>1</v>
      </c>
      <c r="E256" s="1600">
        <v>10430</v>
      </c>
      <c r="F256" s="1600">
        <v>6060000</v>
      </c>
      <c r="G256" s="1601" t="s">
        <v>2317</v>
      </c>
      <c r="H256" s="1602" t="s">
        <v>2611</v>
      </c>
      <c r="I256" s="1602" t="s">
        <v>2388</v>
      </c>
      <c r="J256" s="1602" t="s">
        <v>2319</v>
      </c>
      <c r="K256" s="1603" t="s">
        <v>2320</v>
      </c>
      <c r="L256" s="1603" t="s">
        <v>2320</v>
      </c>
      <c r="M256" s="1604">
        <v>33400000</v>
      </c>
      <c r="N256" s="1602" t="s">
        <v>2612</v>
      </c>
    </row>
    <row r="257" spans="1:14" ht="15">
      <c r="A257" s="1602" t="s">
        <v>2613</v>
      </c>
      <c r="B257" s="1598">
        <v>13</v>
      </c>
      <c r="C257" s="1602" t="s">
        <v>2614</v>
      </c>
      <c r="D257" s="1600">
        <v>1</v>
      </c>
      <c r="E257" s="1600">
        <v>10430</v>
      </c>
      <c r="F257" s="1600">
        <v>6060000</v>
      </c>
      <c r="G257" s="1601" t="s">
        <v>2317</v>
      </c>
      <c r="H257" s="1602" t="s">
        <v>2611</v>
      </c>
      <c r="I257" s="1602" t="s">
        <v>2388</v>
      </c>
      <c r="J257" s="1602" t="s">
        <v>2319</v>
      </c>
      <c r="K257" s="1603" t="s">
        <v>2320</v>
      </c>
      <c r="L257" s="1603" t="s">
        <v>2320</v>
      </c>
      <c r="M257" s="1604">
        <v>8100000</v>
      </c>
      <c r="N257" s="1602" t="s">
        <v>2615</v>
      </c>
    </row>
    <row r="258" spans="1:14" ht="15">
      <c r="A258" s="1608" t="s">
        <v>2616</v>
      </c>
      <c r="B258" s="1598">
        <v>13</v>
      </c>
      <c r="C258" s="1608" t="s">
        <v>2617</v>
      </c>
      <c r="D258" s="1600">
        <v>1</v>
      </c>
      <c r="E258" s="1600">
        <v>10430</v>
      </c>
      <c r="F258" s="1600">
        <v>6060000</v>
      </c>
      <c r="G258" s="1601" t="s">
        <v>2317</v>
      </c>
      <c r="H258" s="1608" t="s">
        <v>2618</v>
      </c>
      <c r="I258" s="1602" t="s">
        <v>2388</v>
      </c>
      <c r="J258" s="1602" t="s">
        <v>2319</v>
      </c>
      <c r="K258" s="1603" t="s">
        <v>2320</v>
      </c>
      <c r="L258" s="1603" t="s">
        <v>2320</v>
      </c>
      <c r="M258" s="1604">
        <v>17100000</v>
      </c>
      <c r="N258" s="1608" t="s">
        <v>2619</v>
      </c>
    </row>
    <row r="259" spans="1:14" ht="15">
      <c r="A259" s="1602" t="s">
        <v>2620</v>
      </c>
      <c r="B259" s="1609">
        <v>13</v>
      </c>
      <c r="C259" s="1602" t="s">
        <v>2621</v>
      </c>
      <c r="D259" s="1600">
        <v>1</v>
      </c>
      <c r="E259" s="1600">
        <v>10430</v>
      </c>
      <c r="F259" s="1600">
        <v>6060000</v>
      </c>
      <c r="G259" s="1601" t="s">
        <v>2317</v>
      </c>
      <c r="H259" s="1602" t="s">
        <v>2618</v>
      </c>
      <c r="I259" s="1602" t="s">
        <v>2388</v>
      </c>
      <c r="J259" s="1602" t="s">
        <v>2319</v>
      </c>
      <c r="K259" s="1603" t="s">
        <v>2320</v>
      </c>
      <c r="L259" s="1603" t="s">
        <v>2320</v>
      </c>
      <c r="M259" s="1604">
        <v>11160000</v>
      </c>
      <c r="N259" s="1602" t="s">
        <v>2622</v>
      </c>
    </row>
    <row r="262" spans="1:14" ht="15">
      <c r="A262" s="1610"/>
      <c r="B262" s="1610"/>
      <c r="C262" s="1610"/>
      <c r="D262" s="1610"/>
      <c r="E262" s="1610"/>
      <c r="F262" s="1610"/>
      <c r="G262" s="1610"/>
      <c r="H262" s="1610"/>
      <c r="I262" s="1610"/>
      <c r="J262" s="1610"/>
      <c r="K262" s="1610"/>
      <c r="L262" s="1610"/>
      <c r="M262" s="1610"/>
    </row>
    <row r="263" spans="1:14" ht="15">
      <c r="A263" s="2879" t="s">
        <v>2623</v>
      </c>
      <c r="B263" s="2879"/>
      <c r="C263" s="2879"/>
      <c r="D263" s="2879"/>
      <c r="E263" s="2879"/>
      <c r="F263" s="2879"/>
      <c r="G263" s="2879"/>
      <c r="H263" s="1611"/>
      <c r="I263" s="1611"/>
      <c r="J263" s="1611"/>
      <c r="K263" s="1612"/>
      <c r="L263" s="1610"/>
      <c r="M263" s="1610"/>
    </row>
    <row r="264" spans="1:14" ht="15">
      <c r="A264" s="2879" t="s">
        <v>2301</v>
      </c>
      <c r="B264" s="2879"/>
      <c r="C264" s="2879"/>
      <c r="D264" s="2879"/>
      <c r="E264" s="2879"/>
      <c r="F264" s="1611"/>
      <c r="G264" s="1611"/>
      <c r="H264" s="1611"/>
      <c r="I264" s="1611"/>
      <c r="J264" s="1611"/>
      <c r="K264" s="1612"/>
      <c r="L264" s="1610"/>
      <c r="M264" s="1610"/>
    </row>
    <row r="265" spans="1:14" ht="15">
      <c r="A265" s="2880" t="s">
        <v>2624</v>
      </c>
      <c r="B265" s="2880"/>
      <c r="C265" s="2880"/>
      <c r="D265" s="2880"/>
      <c r="E265" s="2880"/>
      <c r="F265" s="2880"/>
      <c r="G265" s="2880"/>
      <c r="H265" s="2880"/>
      <c r="I265" s="1613"/>
      <c r="J265" s="1613"/>
      <c r="K265" s="1613"/>
      <c r="L265" s="1614"/>
      <c r="M265" s="1614"/>
    </row>
    <row r="266" spans="1:14" ht="15">
      <c r="A266" s="1615"/>
      <c r="B266" s="1615"/>
      <c r="C266" s="1615"/>
      <c r="D266" s="1615"/>
      <c r="E266" s="1615"/>
      <c r="F266" s="1615"/>
      <c r="G266" s="1615"/>
      <c r="H266" s="1615"/>
      <c r="I266" s="1613"/>
      <c r="J266" s="1613"/>
      <c r="K266" s="1613"/>
      <c r="L266" s="1614"/>
      <c r="M266" s="1614"/>
    </row>
    <row r="267" spans="1:14" ht="15">
      <c r="A267" s="1616"/>
      <c r="B267" s="1617"/>
      <c r="C267" s="2881" t="s">
        <v>2625</v>
      </c>
      <c r="D267" s="2881"/>
      <c r="E267" s="1617"/>
      <c r="F267" s="1617"/>
      <c r="G267" s="1617"/>
      <c r="H267" s="1617"/>
      <c r="I267" s="1617"/>
      <c r="J267" s="1617"/>
      <c r="K267" s="1618" t="s">
        <v>2626</v>
      </c>
      <c r="L267" s="1614"/>
      <c r="M267" s="1614"/>
    </row>
    <row r="268" spans="1:14" ht="15.75" thickBot="1">
      <c r="A268" s="1616"/>
      <c r="B268" s="1617"/>
      <c r="C268" s="1617"/>
      <c r="D268" s="1617"/>
      <c r="E268" s="1617"/>
      <c r="F268" s="1617"/>
      <c r="G268" s="1617"/>
      <c r="H268" s="1617"/>
      <c r="I268" s="1617"/>
      <c r="J268" s="1617"/>
      <c r="K268" s="1618"/>
      <c r="L268" s="1614"/>
      <c r="M268" s="1614"/>
    </row>
    <row r="269" spans="1:14" ht="45.75" thickBot="1">
      <c r="A269" s="1610"/>
      <c r="B269" s="1619" t="s">
        <v>2627</v>
      </c>
      <c r="C269" s="1620" t="s">
        <v>2628</v>
      </c>
      <c r="D269" s="1620" t="s">
        <v>2629</v>
      </c>
      <c r="E269" s="1621" t="s">
        <v>2630</v>
      </c>
      <c r="F269" s="1622" t="s">
        <v>2306</v>
      </c>
      <c r="G269" s="1620" t="s">
        <v>2631</v>
      </c>
      <c r="H269" s="1620" t="s">
        <v>2632</v>
      </c>
      <c r="I269" s="1620" t="s">
        <v>2633</v>
      </c>
      <c r="J269" s="1620" t="s">
        <v>2634</v>
      </c>
      <c r="K269" s="1623" t="s">
        <v>2635</v>
      </c>
      <c r="L269" s="1610"/>
      <c r="M269" s="1610"/>
    </row>
    <row r="270" spans="1:14" ht="15.75" thickBot="1">
      <c r="A270" s="1610"/>
      <c r="B270" s="1624"/>
      <c r="C270" s="1625"/>
      <c r="D270" s="1625"/>
      <c r="E270" s="1625" t="s">
        <v>2636</v>
      </c>
      <c r="F270" s="1626"/>
      <c r="G270" s="1625"/>
      <c r="H270" s="1625"/>
      <c r="I270" s="1625"/>
      <c r="J270" s="1625"/>
      <c r="K270" s="1627">
        <f>SUM(K271:K392)</f>
        <v>3487828000</v>
      </c>
      <c r="L270" s="1610"/>
      <c r="M270" s="1610"/>
    </row>
    <row r="271" spans="1:14" ht="15.75">
      <c r="A271" s="1628"/>
      <c r="B271" s="1629">
        <v>102</v>
      </c>
      <c r="C271" s="1630">
        <v>13</v>
      </c>
      <c r="D271" s="1630">
        <v>2102001</v>
      </c>
      <c r="E271" s="1631" t="s">
        <v>2419</v>
      </c>
      <c r="F271" s="1630" t="s">
        <v>2637</v>
      </c>
      <c r="G271" s="1632" t="s">
        <v>2638</v>
      </c>
      <c r="H271" s="1633">
        <v>6060000</v>
      </c>
      <c r="I271" s="1634" t="s">
        <v>2361</v>
      </c>
      <c r="J271" s="1635" t="s">
        <v>2387</v>
      </c>
      <c r="K271" s="1636">
        <v>4460000</v>
      </c>
      <c r="L271" s="1637">
        <v>5095248</v>
      </c>
      <c r="M271" s="1638">
        <f>K271-L271</f>
        <v>-635248</v>
      </c>
    </row>
    <row r="272" spans="1:14" ht="15.75">
      <c r="A272" s="1628"/>
      <c r="B272" s="1639" t="s">
        <v>2420</v>
      </c>
      <c r="C272" s="1640">
        <v>13</v>
      </c>
      <c r="D272" s="1640">
        <v>2167001</v>
      </c>
      <c r="E272" s="1641" t="s">
        <v>2422</v>
      </c>
      <c r="F272" s="1640" t="s">
        <v>2637</v>
      </c>
      <c r="G272" s="1642" t="s">
        <v>2638</v>
      </c>
      <c r="H272" s="1643">
        <v>6060000</v>
      </c>
      <c r="I272" s="1644" t="s">
        <v>2361</v>
      </c>
      <c r="J272" s="1645" t="s">
        <v>2387</v>
      </c>
      <c r="K272" s="1646">
        <v>2300000</v>
      </c>
      <c r="L272" s="1647">
        <v>2539800</v>
      </c>
      <c r="M272" s="1638">
        <f t="shared" ref="M272:M335" si="0">K272-L272</f>
        <v>-239800</v>
      </c>
    </row>
    <row r="273" spans="1:13" ht="15.75">
      <c r="A273" s="1628"/>
      <c r="B273" s="1639" t="s">
        <v>2423</v>
      </c>
      <c r="C273" s="1640">
        <v>13</v>
      </c>
      <c r="D273" s="1640">
        <v>2124001</v>
      </c>
      <c r="E273" s="1641" t="s">
        <v>2426</v>
      </c>
      <c r="F273" s="1640" t="s">
        <v>2637</v>
      </c>
      <c r="G273" s="1642" t="s">
        <v>2638</v>
      </c>
      <c r="H273" s="1643">
        <v>6060000</v>
      </c>
      <c r="I273" s="1644" t="s">
        <v>2425</v>
      </c>
      <c r="J273" s="1645" t="s">
        <v>2387</v>
      </c>
      <c r="K273" s="1646">
        <v>3220000</v>
      </c>
      <c r="L273" s="1647">
        <v>2948448</v>
      </c>
      <c r="M273" s="1638">
        <f t="shared" si="0"/>
        <v>271552</v>
      </c>
    </row>
    <row r="274" spans="1:13" ht="15.75">
      <c r="A274" s="1610"/>
      <c r="B274" s="1639">
        <v>139</v>
      </c>
      <c r="C274" s="1640">
        <v>13</v>
      </c>
      <c r="D274" s="1640">
        <v>2139001</v>
      </c>
      <c r="E274" s="1641" t="s">
        <v>2429</v>
      </c>
      <c r="F274" s="1640" t="s">
        <v>2637</v>
      </c>
      <c r="G274" s="1642" t="s">
        <v>2638</v>
      </c>
      <c r="H274" s="1643">
        <v>6060000</v>
      </c>
      <c r="I274" s="1644" t="s">
        <v>2333</v>
      </c>
      <c r="J274" s="1645" t="s">
        <v>2387</v>
      </c>
      <c r="K274" s="1646">
        <v>4590000</v>
      </c>
      <c r="L274" s="1647">
        <v>4697900</v>
      </c>
      <c r="M274" s="1638">
        <f t="shared" si="0"/>
        <v>-107900</v>
      </c>
    </row>
    <row r="275" spans="1:13" ht="15.75">
      <c r="A275" s="1610"/>
      <c r="B275" s="1639">
        <v>140</v>
      </c>
      <c r="C275" s="1640">
        <v>13</v>
      </c>
      <c r="D275" s="1640">
        <v>2140001</v>
      </c>
      <c r="E275" s="1641" t="s">
        <v>2431</v>
      </c>
      <c r="F275" s="1640" t="s">
        <v>2637</v>
      </c>
      <c r="G275" s="1642" t="s">
        <v>2638</v>
      </c>
      <c r="H275" s="1643">
        <v>6060000</v>
      </c>
      <c r="I275" s="1644" t="s">
        <v>2333</v>
      </c>
      <c r="J275" s="1645" t="s">
        <v>2387</v>
      </c>
      <c r="K275" s="1646">
        <v>3070000</v>
      </c>
      <c r="L275" s="1647">
        <v>3185824</v>
      </c>
      <c r="M275" s="1638">
        <f t="shared" si="0"/>
        <v>-115824</v>
      </c>
    </row>
    <row r="276" spans="1:13" ht="15.75">
      <c r="A276" s="1610"/>
      <c r="B276" s="1639">
        <v>106</v>
      </c>
      <c r="C276" s="1640">
        <v>13</v>
      </c>
      <c r="D276" s="1648">
        <v>2106001</v>
      </c>
      <c r="E276" s="1641" t="s">
        <v>2432</v>
      </c>
      <c r="F276" s="1640" t="s">
        <v>2637</v>
      </c>
      <c r="G276" s="1642" t="s">
        <v>2638</v>
      </c>
      <c r="H276" s="1643">
        <v>6060000</v>
      </c>
      <c r="I276" s="1644" t="s">
        <v>2392</v>
      </c>
      <c r="J276" s="1645" t="s">
        <v>2387</v>
      </c>
      <c r="K276" s="1646">
        <v>62060000</v>
      </c>
      <c r="L276" s="1649">
        <v>70528884</v>
      </c>
      <c r="M276" s="1638">
        <f t="shared" si="0"/>
        <v>-8468884</v>
      </c>
    </row>
    <row r="277" spans="1:13" ht="15.75">
      <c r="A277" s="1610"/>
      <c r="B277" s="1639">
        <v>103</v>
      </c>
      <c r="C277" s="1640">
        <v>13</v>
      </c>
      <c r="D277" s="1640">
        <v>2103001</v>
      </c>
      <c r="E277" s="1641" t="s">
        <v>2436</v>
      </c>
      <c r="F277" s="1640" t="s">
        <v>2637</v>
      </c>
      <c r="G277" s="1642" t="s">
        <v>2638</v>
      </c>
      <c r="H277" s="1643">
        <v>6060000</v>
      </c>
      <c r="I277" s="1644" t="s">
        <v>2435</v>
      </c>
      <c r="J277" s="1645" t="s">
        <v>2387</v>
      </c>
      <c r="K277" s="1646">
        <v>18280000</v>
      </c>
      <c r="L277" s="1649">
        <v>20106200</v>
      </c>
      <c r="M277" s="1638">
        <f t="shared" si="0"/>
        <v>-1826200</v>
      </c>
    </row>
    <row r="278" spans="1:13" ht="15.75">
      <c r="A278" s="1610"/>
      <c r="B278" s="1639">
        <v>132</v>
      </c>
      <c r="C278" s="1640">
        <v>13</v>
      </c>
      <c r="D278" s="1640">
        <v>2132001</v>
      </c>
      <c r="E278" s="1641" t="s">
        <v>2440</v>
      </c>
      <c r="F278" s="1640" t="s">
        <v>2637</v>
      </c>
      <c r="G278" s="1642" t="s">
        <v>2638</v>
      </c>
      <c r="H278" s="1643">
        <v>6060000</v>
      </c>
      <c r="I278" s="1644" t="s">
        <v>2639</v>
      </c>
      <c r="J278" s="1645" t="s">
        <v>2387</v>
      </c>
      <c r="K278" s="1646">
        <v>18530000</v>
      </c>
      <c r="L278" s="1649">
        <v>21177836</v>
      </c>
      <c r="M278" s="1638">
        <f t="shared" si="0"/>
        <v>-2647836</v>
      </c>
    </row>
    <row r="279" spans="1:13" ht="15.75">
      <c r="A279" s="1610"/>
      <c r="B279" s="1639">
        <v>654</v>
      </c>
      <c r="C279" s="1640">
        <v>13</v>
      </c>
      <c r="D279" s="1640">
        <v>2654001</v>
      </c>
      <c r="E279" s="1641" t="s">
        <v>2443</v>
      </c>
      <c r="F279" s="1640" t="s">
        <v>2637</v>
      </c>
      <c r="G279" s="1642" t="s">
        <v>2638</v>
      </c>
      <c r="H279" s="1643">
        <v>6060000</v>
      </c>
      <c r="I279" s="1644" t="s">
        <v>2639</v>
      </c>
      <c r="J279" s="1645" t="s">
        <v>2387</v>
      </c>
      <c r="K279" s="1646">
        <v>15900000</v>
      </c>
      <c r="L279" s="1649">
        <v>28274080</v>
      </c>
      <c r="M279" s="1638">
        <f t="shared" si="0"/>
        <v>-12374080</v>
      </c>
    </row>
    <row r="280" spans="1:13" ht="15.75">
      <c r="A280" s="1610"/>
      <c r="B280" s="1639">
        <v>107</v>
      </c>
      <c r="C280" s="1640">
        <v>13</v>
      </c>
      <c r="D280" s="1640">
        <v>2107001</v>
      </c>
      <c r="E280" s="1641" t="s">
        <v>2640</v>
      </c>
      <c r="F280" s="1640" t="s">
        <v>2637</v>
      </c>
      <c r="G280" s="1642" t="s">
        <v>2638</v>
      </c>
      <c r="H280" s="1643">
        <v>6060000</v>
      </c>
      <c r="I280" s="1644" t="s">
        <v>2349</v>
      </c>
      <c r="J280" s="1645" t="s">
        <v>2387</v>
      </c>
      <c r="K280" s="1646">
        <v>1580000</v>
      </c>
      <c r="L280" s="1647">
        <v>1613628</v>
      </c>
      <c r="M280" s="1638">
        <f t="shared" si="0"/>
        <v>-33628</v>
      </c>
    </row>
    <row r="281" spans="1:13" ht="15.75">
      <c r="A281" s="1610"/>
      <c r="B281" s="1639">
        <v>108</v>
      </c>
      <c r="C281" s="1640">
        <v>13</v>
      </c>
      <c r="D281" s="1640">
        <v>2108001</v>
      </c>
      <c r="E281" s="1641" t="s">
        <v>2449</v>
      </c>
      <c r="F281" s="1640" t="s">
        <v>2637</v>
      </c>
      <c r="G281" s="1642" t="s">
        <v>2638</v>
      </c>
      <c r="H281" s="1643">
        <v>6060000</v>
      </c>
      <c r="I281" s="1644" t="s">
        <v>2349</v>
      </c>
      <c r="J281" s="1645" t="s">
        <v>2387</v>
      </c>
      <c r="K281" s="1646">
        <v>860000</v>
      </c>
      <c r="L281" s="1647">
        <v>805200</v>
      </c>
      <c r="M281" s="1638">
        <f t="shared" si="0"/>
        <v>54800</v>
      </c>
    </row>
    <row r="282" spans="1:13" ht="15.75">
      <c r="A282" s="1610"/>
      <c r="B282" s="1639">
        <v>123</v>
      </c>
      <c r="C282" s="1640">
        <v>13</v>
      </c>
      <c r="D282" s="1640">
        <v>2123001</v>
      </c>
      <c r="E282" s="1641" t="s">
        <v>2641</v>
      </c>
      <c r="F282" s="1640" t="s">
        <v>2637</v>
      </c>
      <c r="G282" s="1642" t="s">
        <v>2638</v>
      </c>
      <c r="H282" s="1643">
        <v>6060000</v>
      </c>
      <c r="I282" s="1644" t="s">
        <v>2452</v>
      </c>
      <c r="J282" s="1645" t="s">
        <v>2387</v>
      </c>
      <c r="K282" s="1646">
        <v>4960000</v>
      </c>
      <c r="L282" s="1647">
        <v>4696620</v>
      </c>
      <c r="M282" s="1638">
        <f t="shared" si="0"/>
        <v>263380</v>
      </c>
    </row>
    <row r="283" spans="1:13" ht="15.75">
      <c r="A283" s="1610"/>
      <c r="B283" s="1639">
        <v>109</v>
      </c>
      <c r="C283" s="1640">
        <v>13</v>
      </c>
      <c r="D283" s="1640">
        <v>2109001</v>
      </c>
      <c r="E283" s="1641" t="s">
        <v>2456</v>
      </c>
      <c r="F283" s="1640" t="s">
        <v>2637</v>
      </c>
      <c r="G283" s="1642" t="s">
        <v>2638</v>
      </c>
      <c r="H283" s="1643">
        <v>6060000</v>
      </c>
      <c r="I283" s="1644" t="s">
        <v>2397</v>
      </c>
      <c r="J283" s="1645" t="s">
        <v>2387</v>
      </c>
      <c r="K283" s="1646">
        <v>62620000</v>
      </c>
      <c r="L283" s="1647">
        <v>64981478</v>
      </c>
      <c r="M283" s="1638">
        <f t="shared" si="0"/>
        <v>-2361478</v>
      </c>
    </row>
    <row r="284" spans="1:13" ht="15.75">
      <c r="A284" s="1610"/>
      <c r="B284" s="1639">
        <v>110</v>
      </c>
      <c r="C284" s="1640">
        <v>13</v>
      </c>
      <c r="D284" s="1640">
        <v>2110001</v>
      </c>
      <c r="E284" s="1641" t="s">
        <v>2642</v>
      </c>
      <c r="F284" s="1640" t="s">
        <v>2637</v>
      </c>
      <c r="G284" s="1642" t="s">
        <v>2638</v>
      </c>
      <c r="H284" s="1643">
        <v>6060000</v>
      </c>
      <c r="I284" s="1644" t="s">
        <v>2397</v>
      </c>
      <c r="J284" s="1645" t="s">
        <v>2387</v>
      </c>
      <c r="K284" s="1646">
        <v>6860000</v>
      </c>
      <c r="L284" s="1647">
        <v>7105348</v>
      </c>
      <c r="M284" s="1638">
        <f t="shared" si="0"/>
        <v>-245348</v>
      </c>
    </row>
    <row r="285" spans="1:13" ht="15.75">
      <c r="A285" s="1610"/>
      <c r="B285" s="1639">
        <v>152</v>
      </c>
      <c r="C285" s="1640">
        <v>13</v>
      </c>
      <c r="D285" s="1640">
        <v>2152001</v>
      </c>
      <c r="E285" s="1641" t="s">
        <v>2462</v>
      </c>
      <c r="F285" s="1640" t="s">
        <v>2637</v>
      </c>
      <c r="G285" s="1642" t="s">
        <v>2638</v>
      </c>
      <c r="H285" s="1643">
        <v>6060000</v>
      </c>
      <c r="I285" s="1644" t="s">
        <v>2397</v>
      </c>
      <c r="J285" s="1645" t="s">
        <v>2387</v>
      </c>
      <c r="K285" s="1646">
        <v>9900000</v>
      </c>
      <c r="L285" s="1647">
        <v>9983080</v>
      </c>
      <c r="M285" s="1638">
        <f t="shared" si="0"/>
        <v>-83080</v>
      </c>
    </row>
    <row r="286" spans="1:13" ht="15.75">
      <c r="A286" s="1610"/>
      <c r="B286" s="1639">
        <v>134</v>
      </c>
      <c r="C286" s="1640">
        <v>13</v>
      </c>
      <c r="D286" s="1640">
        <v>2134001</v>
      </c>
      <c r="E286" s="1641" t="s">
        <v>2466</v>
      </c>
      <c r="F286" s="1640" t="s">
        <v>2637</v>
      </c>
      <c r="G286" s="1642" t="s">
        <v>2638</v>
      </c>
      <c r="H286" s="1643">
        <v>6060000</v>
      </c>
      <c r="I286" s="1644" t="s">
        <v>2465</v>
      </c>
      <c r="J286" s="1645" t="s">
        <v>2387</v>
      </c>
      <c r="K286" s="1646">
        <v>10570000</v>
      </c>
      <c r="L286" s="1647">
        <v>17847060</v>
      </c>
      <c r="M286" s="1638">
        <f t="shared" si="0"/>
        <v>-7277060</v>
      </c>
    </row>
    <row r="287" spans="1:13" ht="15.75">
      <c r="A287" s="1610"/>
      <c r="B287" s="1639">
        <v>114</v>
      </c>
      <c r="C287" s="1640">
        <v>13</v>
      </c>
      <c r="D287" s="1640">
        <v>2114001</v>
      </c>
      <c r="E287" s="1641" t="s">
        <v>2470</v>
      </c>
      <c r="F287" s="1640" t="s">
        <v>2637</v>
      </c>
      <c r="G287" s="1642" t="s">
        <v>2638</v>
      </c>
      <c r="H287" s="1643">
        <v>6060000</v>
      </c>
      <c r="I287" s="1644" t="s">
        <v>2469</v>
      </c>
      <c r="J287" s="1645" t="s">
        <v>2387</v>
      </c>
      <c r="K287" s="1646">
        <v>27250000</v>
      </c>
      <c r="L287" s="1647">
        <v>27093160</v>
      </c>
      <c r="M287" s="1638">
        <f t="shared" si="0"/>
        <v>156840</v>
      </c>
    </row>
    <row r="288" spans="1:13" ht="15.75">
      <c r="A288" s="1610"/>
      <c r="B288" s="1639">
        <v>128</v>
      </c>
      <c r="C288" s="1640">
        <v>13</v>
      </c>
      <c r="D288" s="1640">
        <v>2128001</v>
      </c>
      <c r="E288" s="1641" t="s">
        <v>2474</v>
      </c>
      <c r="F288" s="1640" t="s">
        <v>2637</v>
      </c>
      <c r="G288" s="1642" t="s">
        <v>2638</v>
      </c>
      <c r="H288" s="1643">
        <v>6060000</v>
      </c>
      <c r="I288" s="1644" t="s">
        <v>2473</v>
      </c>
      <c r="J288" s="1645" t="s">
        <v>2387</v>
      </c>
      <c r="K288" s="1646">
        <v>35890000</v>
      </c>
      <c r="L288" s="1647">
        <v>35917632</v>
      </c>
      <c r="M288" s="1638">
        <f t="shared" si="0"/>
        <v>-27632</v>
      </c>
    </row>
    <row r="289" spans="1:13" ht="15.75">
      <c r="A289" s="1610"/>
      <c r="B289" s="1639">
        <v>153</v>
      </c>
      <c r="C289" s="1640">
        <v>13</v>
      </c>
      <c r="D289" s="1640">
        <v>2153001</v>
      </c>
      <c r="E289" s="1641" t="s">
        <v>2477</v>
      </c>
      <c r="F289" s="1640" t="s">
        <v>2637</v>
      </c>
      <c r="G289" s="1642" t="s">
        <v>2638</v>
      </c>
      <c r="H289" s="1643">
        <v>6060000</v>
      </c>
      <c r="I289" s="1644" t="s">
        <v>2473</v>
      </c>
      <c r="J289" s="1645" t="s">
        <v>2387</v>
      </c>
      <c r="K289" s="1646">
        <v>30440000</v>
      </c>
      <c r="L289" s="1647">
        <v>31576792</v>
      </c>
      <c r="M289" s="1638">
        <f t="shared" si="0"/>
        <v>-1136792</v>
      </c>
    </row>
    <row r="290" spans="1:13" ht="15.75">
      <c r="A290" s="1610"/>
      <c r="B290" s="1639">
        <v>111</v>
      </c>
      <c r="C290" s="1640">
        <v>13</v>
      </c>
      <c r="D290" s="1640">
        <v>2111001</v>
      </c>
      <c r="E290" s="1641" t="s">
        <v>2480</v>
      </c>
      <c r="F290" s="1640" t="s">
        <v>2637</v>
      </c>
      <c r="G290" s="1642" t="s">
        <v>2638</v>
      </c>
      <c r="H290" s="1643">
        <v>6060000</v>
      </c>
      <c r="I290" s="1644" t="s">
        <v>2325</v>
      </c>
      <c r="J290" s="1645" t="s">
        <v>2387</v>
      </c>
      <c r="K290" s="1646">
        <v>5760000</v>
      </c>
      <c r="L290" s="1647">
        <v>5952580</v>
      </c>
      <c r="M290" s="1638">
        <f t="shared" si="0"/>
        <v>-192580</v>
      </c>
    </row>
    <row r="291" spans="1:13" ht="15.75">
      <c r="A291" s="1610"/>
      <c r="B291" s="1639">
        <v>112</v>
      </c>
      <c r="C291" s="1640">
        <v>13</v>
      </c>
      <c r="D291" s="1640">
        <v>2112001</v>
      </c>
      <c r="E291" s="1641" t="s">
        <v>2483</v>
      </c>
      <c r="F291" s="1640" t="s">
        <v>2637</v>
      </c>
      <c r="G291" s="1642" t="s">
        <v>2638</v>
      </c>
      <c r="H291" s="1643">
        <v>6060000</v>
      </c>
      <c r="I291" s="1644" t="s">
        <v>2325</v>
      </c>
      <c r="J291" s="1645" t="s">
        <v>2387</v>
      </c>
      <c r="K291" s="1646">
        <v>1945000</v>
      </c>
      <c r="L291" s="1647">
        <v>1968480</v>
      </c>
      <c r="M291" s="1638">
        <f t="shared" si="0"/>
        <v>-23480</v>
      </c>
    </row>
    <row r="292" spans="1:13" ht="15.75">
      <c r="A292" s="1610"/>
      <c r="B292" s="1639">
        <v>113</v>
      </c>
      <c r="C292" s="1640">
        <v>13</v>
      </c>
      <c r="D292" s="1640">
        <v>2113001</v>
      </c>
      <c r="E292" s="1641" t="s">
        <v>2486</v>
      </c>
      <c r="F292" s="1640" t="s">
        <v>2637</v>
      </c>
      <c r="G292" s="1642" t="s">
        <v>2638</v>
      </c>
      <c r="H292" s="1643">
        <v>6060000</v>
      </c>
      <c r="I292" s="1644" t="s">
        <v>2325</v>
      </c>
      <c r="J292" s="1645" t="s">
        <v>2387</v>
      </c>
      <c r="K292" s="1646">
        <v>1930000</v>
      </c>
      <c r="L292" s="1647">
        <v>2022160</v>
      </c>
      <c r="M292" s="1638">
        <f t="shared" si="0"/>
        <v>-92160</v>
      </c>
    </row>
    <row r="293" spans="1:13" ht="15.75">
      <c r="A293" s="1610"/>
      <c r="B293" s="1639">
        <v>129</v>
      </c>
      <c r="C293" s="1640">
        <v>13</v>
      </c>
      <c r="D293" s="1640">
        <v>2129001</v>
      </c>
      <c r="E293" s="1641" t="s">
        <v>2643</v>
      </c>
      <c r="F293" s="1640" t="s">
        <v>2637</v>
      </c>
      <c r="G293" s="1642" t="s">
        <v>2638</v>
      </c>
      <c r="H293" s="1643">
        <v>6060000</v>
      </c>
      <c r="I293" s="1644" t="s">
        <v>2489</v>
      </c>
      <c r="J293" s="1645" t="s">
        <v>2387</v>
      </c>
      <c r="K293" s="1646">
        <v>3730000</v>
      </c>
      <c r="L293" s="1647">
        <v>4222360</v>
      </c>
      <c r="M293" s="1638">
        <f t="shared" si="0"/>
        <v>-492360</v>
      </c>
    </row>
    <row r="294" spans="1:13" ht="15.75">
      <c r="A294" s="1610"/>
      <c r="B294" s="1639">
        <v>147</v>
      </c>
      <c r="C294" s="1640">
        <v>13</v>
      </c>
      <c r="D294" s="1640">
        <v>2147001</v>
      </c>
      <c r="E294" s="1641" t="s">
        <v>2644</v>
      </c>
      <c r="F294" s="1640" t="s">
        <v>2637</v>
      </c>
      <c r="G294" s="1642" t="s">
        <v>2638</v>
      </c>
      <c r="H294" s="1643">
        <v>6060000</v>
      </c>
      <c r="I294" s="1644" t="s">
        <v>2489</v>
      </c>
      <c r="J294" s="1645" t="s">
        <v>2387</v>
      </c>
      <c r="K294" s="1646">
        <v>2465000</v>
      </c>
      <c r="L294" s="1647">
        <v>2736160</v>
      </c>
      <c r="M294" s="1638">
        <f t="shared" si="0"/>
        <v>-271160</v>
      </c>
    </row>
    <row r="295" spans="1:13" ht="15.75">
      <c r="A295" s="1610"/>
      <c r="B295" s="1639">
        <v>131</v>
      </c>
      <c r="C295" s="1640">
        <v>13</v>
      </c>
      <c r="D295" s="1640">
        <v>2131001</v>
      </c>
      <c r="E295" s="1641" t="s">
        <v>2645</v>
      </c>
      <c r="F295" s="1640" t="s">
        <v>2637</v>
      </c>
      <c r="G295" s="1642" t="s">
        <v>2638</v>
      </c>
      <c r="H295" s="1643">
        <v>6060000</v>
      </c>
      <c r="I295" s="1644" t="s">
        <v>2496</v>
      </c>
      <c r="J295" s="1645" t="s">
        <v>2387</v>
      </c>
      <c r="K295" s="1646">
        <v>7630000</v>
      </c>
      <c r="L295" s="1647">
        <v>7815980</v>
      </c>
      <c r="M295" s="1638">
        <f t="shared" si="0"/>
        <v>-185980</v>
      </c>
    </row>
    <row r="296" spans="1:13" ht="15.75">
      <c r="A296" s="1610"/>
      <c r="B296" s="1639">
        <v>115</v>
      </c>
      <c r="C296" s="1640">
        <v>13</v>
      </c>
      <c r="D296" s="1640">
        <v>2115001</v>
      </c>
      <c r="E296" s="1641" t="s">
        <v>2646</v>
      </c>
      <c r="F296" s="1640" t="s">
        <v>2637</v>
      </c>
      <c r="G296" s="1642" t="s">
        <v>2638</v>
      </c>
      <c r="H296" s="1643">
        <v>6060000</v>
      </c>
      <c r="I296" s="1644" t="s">
        <v>2499</v>
      </c>
      <c r="J296" s="1645" t="s">
        <v>2387</v>
      </c>
      <c r="K296" s="1646">
        <v>610000</v>
      </c>
      <c r="L296" s="1647">
        <v>682836</v>
      </c>
      <c r="M296" s="1638">
        <f t="shared" si="0"/>
        <v>-72836</v>
      </c>
    </row>
    <row r="297" spans="1:13" ht="15.75">
      <c r="A297" s="1610"/>
      <c r="B297" s="1639">
        <v>116</v>
      </c>
      <c r="C297" s="1640">
        <v>13</v>
      </c>
      <c r="D297" s="1640">
        <v>2116001</v>
      </c>
      <c r="E297" s="1641" t="s">
        <v>2647</v>
      </c>
      <c r="F297" s="1640" t="s">
        <v>2637</v>
      </c>
      <c r="G297" s="1642" t="s">
        <v>2638</v>
      </c>
      <c r="H297" s="1643">
        <v>6060000</v>
      </c>
      <c r="I297" s="1644" t="s">
        <v>2499</v>
      </c>
      <c r="J297" s="1645" t="s">
        <v>2387</v>
      </c>
      <c r="K297" s="1646">
        <v>130000</v>
      </c>
      <c r="L297" s="1647">
        <v>145092</v>
      </c>
      <c r="M297" s="1638">
        <f t="shared" si="0"/>
        <v>-15092</v>
      </c>
    </row>
    <row r="298" spans="1:13" ht="15.75">
      <c r="A298" s="1610"/>
      <c r="B298" s="1639">
        <v>142</v>
      </c>
      <c r="C298" s="1640">
        <v>13</v>
      </c>
      <c r="D298" s="1640">
        <v>2142001</v>
      </c>
      <c r="E298" s="1641" t="s">
        <v>2648</v>
      </c>
      <c r="F298" s="1640" t="s">
        <v>2637</v>
      </c>
      <c r="G298" s="1642" t="s">
        <v>2638</v>
      </c>
      <c r="H298" s="1643">
        <v>6060000</v>
      </c>
      <c r="I298" s="1644" t="s">
        <v>2506</v>
      </c>
      <c r="J298" s="1645" t="s">
        <v>2387</v>
      </c>
      <c r="K298" s="1646">
        <v>2260000</v>
      </c>
      <c r="L298" s="1647">
        <v>2488632</v>
      </c>
      <c r="M298" s="1638">
        <f t="shared" si="0"/>
        <v>-228632</v>
      </c>
    </row>
    <row r="299" spans="1:13" ht="15.75">
      <c r="A299" s="1610"/>
      <c r="B299" s="1639">
        <v>143</v>
      </c>
      <c r="C299" s="1640">
        <v>13</v>
      </c>
      <c r="D299" s="1640">
        <v>2143001</v>
      </c>
      <c r="E299" s="1641" t="s">
        <v>2510</v>
      </c>
      <c r="F299" s="1640" t="s">
        <v>2637</v>
      </c>
      <c r="G299" s="1642" t="s">
        <v>2638</v>
      </c>
      <c r="H299" s="1643">
        <v>6060000</v>
      </c>
      <c r="I299" s="1644" t="s">
        <v>2506</v>
      </c>
      <c r="J299" s="1645" t="s">
        <v>2387</v>
      </c>
      <c r="K299" s="1646">
        <v>3330000</v>
      </c>
      <c r="L299" s="1647">
        <v>3720424</v>
      </c>
      <c r="M299" s="1638">
        <f t="shared" si="0"/>
        <v>-390424</v>
      </c>
    </row>
    <row r="300" spans="1:13" ht="15.75">
      <c r="A300" s="1610"/>
      <c r="B300" s="1639">
        <v>135</v>
      </c>
      <c r="C300" s="1640">
        <v>13</v>
      </c>
      <c r="D300" s="1640">
        <v>2135001</v>
      </c>
      <c r="E300" s="1641" t="s">
        <v>2649</v>
      </c>
      <c r="F300" s="1640" t="s">
        <v>2637</v>
      </c>
      <c r="G300" s="1642" t="s">
        <v>2638</v>
      </c>
      <c r="H300" s="1643">
        <v>6060000</v>
      </c>
      <c r="I300" s="1644" t="s">
        <v>2513</v>
      </c>
      <c r="J300" s="1645" t="s">
        <v>2387</v>
      </c>
      <c r="K300" s="1646">
        <v>870000</v>
      </c>
      <c r="L300" s="1647">
        <v>966619</v>
      </c>
      <c r="M300" s="1638">
        <f t="shared" si="0"/>
        <v>-96619</v>
      </c>
    </row>
    <row r="301" spans="1:13" ht="15.75">
      <c r="A301" s="1610"/>
      <c r="B301" s="1639">
        <v>154</v>
      </c>
      <c r="C301" s="1640">
        <v>13</v>
      </c>
      <c r="D301" s="1640">
        <v>2154001</v>
      </c>
      <c r="E301" s="1641" t="s">
        <v>2650</v>
      </c>
      <c r="F301" s="1640" t="s">
        <v>2637</v>
      </c>
      <c r="G301" s="1642" t="s">
        <v>2638</v>
      </c>
      <c r="H301" s="1643">
        <v>6060000</v>
      </c>
      <c r="I301" s="1644" t="s">
        <v>2513</v>
      </c>
      <c r="J301" s="1645" t="s">
        <v>2387</v>
      </c>
      <c r="K301" s="1646">
        <v>1625000</v>
      </c>
      <c r="L301" s="1647">
        <v>1815735</v>
      </c>
      <c r="M301" s="1638">
        <f t="shared" si="0"/>
        <v>-190735</v>
      </c>
    </row>
    <row r="302" spans="1:13" ht="15.75">
      <c r="A302" s="1610"/>
      <c r="B302" s="1639">
        <v>452</v>
      </c>
      <c r="C302" s="1640">
        <v>13</v>
      </c>
      <c r="D302" s="1640">
        <v>2452001</v>
      </c>
      <c r="E302" s="1641" t="s">
        <v>2520</v>
      </c>
      <c r="F302" s="1640" t="s">
        <v>2637</v>
      </c>
      <c r="G302" s="1642" t="s">
        <v>2638</v>
      </c>
      <c r="H302" s="1643">
        <v>6060000</v>
      </c>
      <c r="I302" s="1644" t="s">
        <v>2499</v>
      </c>
      <c r="J302" s="1645" t="s">
        <v>2387</v>
      </c>
      <c r="K302" s="1646">
        <v>380000</v>
      </c>
      <c r="L302" s="1647">
        <v>269100</v>
      </c>
      <c r="M302" s="1638">
        <f t="shared" si="0"/>
        <v>110900</v>
      </c>
    </row>
    <row r="303" spans="1:13" ht="15.75">
      <c r="A303" s="1610"/>
      <c r="B303" s="1639">
        <v>122</v>
      </c>
      <c r="C303" s="1640">
        <v>13</v>
      </c>
      <c r="D303" s="1640">
        <v>2122001</v>
      </c>
      <c r="E303" s="1641" t="s">
        <v>2651</v>
      </c>
      <c r="F303" s="1640" t="s">
        <v>2637</v>
      </c>
      <c r="G303" s="1642" t="s">
        <v>2638</v>
      </c>
      <c r="H303" s="1643">
        <v>6060000</v>
      </c>
      <c r="I303" s="1644" t="s">
        <v>2523</v>
      </c>
      <c r="J303" s="1645" t="s">
        <v>2387</v>
      </c>
      <c r="K303" s="1646">
        <v>4920000</v>
      </c>
      <c r="L303" s="1647">
        <v>8042844</v>
      </c>
      <c r="M303" s="1638">
        <f t="shared" si="0"/>
        <v>-3122844</v>
      </c>
    </row>
    <row r="304" spans="1:13" ht="15.75">
      <c r="A304" s="1610"/>
      <c r="B304" s="1639">
        <v>168</v>
      </c>
      <c r="C304" s="1640">
        <v>13</v>
      </c>
      <c r="D304" s="1640">
        <v>2168001</v>
      </c>
      <c r="E304" s="1641" t="s">
        <v>2527</v>
      </c>
      <c r="F304" s="1640" t="s">
        <v>2637</v>
      </c>
      <c r="G304" s="1642" t="s">
        <v>2638</v>
      </c>
      <c r="H304" s="1643">
        <v>6060000</v>
      </c>
      <c r="I304" s="1644" t="s">
        <v>2523</v>
      </c>
      <c r="J304" s="1645" t="s">
        <v>2387</v>
      </c>
      <c r="K304" s="1646">
        <v>21610000</v>
      </c>
      <c r="L304" s="1647">
        <v>33002500</v>
      </c>
      <c r="M304" s="1638">
        <f t="shared" si="0"/>
        <v>-11392500</v>
      </c>
    </row>
    <row r="305" spans="1:13" ht="15.75">
      <c r="A305" s="1610"/>
      <c r="B305" s="1639">
        <v>499</v>
      </c>
      <c r="C305" s="1640">
        <v>13</v>
      </c>
      <c r="D305" s="1640">
        <v>2499001</v>
      </c>
      <c r="E305" s="1641" t="s">
        <v>2530</v>
      </c>
      <c r="F305" s="1640" t="s">
        <v>2637</v>
      </c>
      <c r="G305" s="1642" t="s">
        <v>2638</v>
      </c>
      <c r="H305" s="1643">
        <v>6060000</v>
      </c>
      <c r="I305" s="1644" t="s">
        <v>2523</v>
      </c>
      <c r="J305" s="1645" t="s">
        <v>2387</v>
      </c>
      <c r="K305" s="1646">
        <v>325000</v>
      </c>
      <c r="L305" s="1647">
        <v>378520</v>
      </c>
      <c r="M305" s="1638">
        <f t="shared" si="0"/>
        <v>-53520</v>
      </c>
    </row>
    <row r="306" spans="1:13" ht="15.75">
      <c r="A306" s="1610"/>
      <c r="B306" s="1639">
        <v>120</v>
      </c>
      <c r="C306" s="1640">
        <v>13</v>
      </c>
      <c r="D306" s="1640">
        <v>2120001</v>
      </c>
      <c r="E306" s="1641" t="s">
        <v>2652</v>
      </c>
      <c r="F306" s="1640" t="s">
        <v>2637</v>
      </c>
      <c r="G306" s="1642" t="s">
        <v>2638</v>
      </c>
      <c r="H306" s="1643">
        <v>6060000</v>
      </c>
      <c r="I306" s="1644" t="s">
        <v>2533</v>
      </c>
      <c r="J306" s="1645" t="s">
        <v>2387</v>
      </c>
      <c r="K306" s="1646">
        <v>2965000</v>
      </c>
      <c r="L306" s="1647">
        <v>4451804</v>
      </c>
      <c r="M306" s="1638">
        <f t="shared" si="0"/>
        <v>-1486804</v>
      </c>
    </row>
    <row r="307" spans="1:13" ht="15.75">
      <c r="A307" s="1610"/>
      <c r="B307" s="1639">
        <v>105</v>
      </c>
      <c r="C307" s="1640">
        <v>13</v>
      </c>
      <c r="D307" s="1640">
        <v>2105001</v>
      </c>
      <c r="E307" s="1641" t="s">
        <v>2538</v>
      </c>
      <c r="F307" s="1640" t="s">
        <v>2637</v>
      </c>
      <c r="G307" s="1642" t="s">
        <v>2638</v>
      </c>
      <c r="H307" s="1643">
        <v>6060000</v>
      </c>
      <c r="I307" s="1644" t="s">
        <v>2537</v>
      </c>
      <c r="J307" s="1645" t="s">
        <v>2387</v>
      </c>
      <c r="K307" s="1646">
        <v>7725000</v>
      </c>
      <c r="L307" s="1647">
        <v>12316350</v>
      </c>
      <c r="M307" s="1638">
        <f t="shared" si="0"/>
        <v>-4591350</v>
      </c>
    </row>
    <row r="308" spans="1:13" ht="15.75">
      <c r="A308" s="1610"/>
      <c r="B308" s="1639">
        <v>136</v>
      </c>
      <c r="C308" s="1640">
        <v>13</v>
      </c>
      <c r="D308" s="1640">
        <v>2136001</v>
      </c>
      <c r="E308" s="1641" t="s">
        <v>2542</v>
      </c>
      <c r="F308" s="1640" t="s">
        <v>2637</v>
      </c>
      <c r="G308" s="1642" t="s">
        <v>2638</v>
      </c>
      <c r="H308" s="1643">
        <v>6060000</v>
      </c>
      <c r="I308" s="1644" t="s">
        <v>2541</v>
      </c>
      <c r="J308" s="1645" t="s">
        <v>2387</v>
      </c>
      <c r="K308" s="1646">
        <v>45560000</v>
      </c>
      <c r="L308" s="1647">
        <v>73587936</v>
      </c>
      <c r="M308" s="1638">
        <f t="shared" si="0"/>
        <v>-28027936</v>
      </c>
    </row>
    <row r="309" spans="1:13" ht="15.75">
      <c r="A309" s="1610"/>
      <c r="B309" s="1639">
        <v>125</v>
      </c>
      <c r="C309" s="1640">
        <v>13</v>
      </c>
      <c r="D309" s="1640">
        <v>2125001</v>
      </c>
      <c r="E309" s="1641" t="s">
        <v>2653</v>
      </c>
      <c r="F309" s="1640" t="s">
        <v>2637</v>
      </c>
      <c r="G309" s="1642" t="s">
        <v>2638</v>
      </c>
      <c r="H309" s="1643">
        <v>6060000</v>
      </c>
      <c r="I309" s="1644" t="s">
        <v>2544</v>
      </c>
      <c r="J309" s="1645" t="s">
        <v>2387</v>
      </c>
      <c r="K309" s="1646">
        <v>55336000</v>
      </c>
      <c r="L309" s="1647">
        <v>55884676</v>
      </c>
      <c r="M309" s="1638">
        <f t="shared" si="0"/>
        <v>-548676</v>
      </c>
    </row>
    <row r="310" spans="1:13" ht="15.75">
      <c r="A310" s="1610"/>
      <c r="B310" s="1639">
        <v>117</v>
      </c>
      <c r="C310" s="1640">
        <v>13</v>
      </c>
      <c r="D310" s="1640">
        <v>2117001</v>
      </c>
      <c r="E310" s="1641" t="s">
        <v>2549</v>
      </c>
      <c r="F310" s="1640" t="s">
        <v>2637</v>
      </c>
      <c r="G310" s="1642" t="s">
        <v>2638</v>
      </c>
      <c r="H310" s="1643">
        <v>6060000</v>
      </c>
      <c r="I310" s="1644" t="s">
        <v>2548</v>
      </c>
      <c r="J310" s="1645" t="s">
        <v>2387</v>
      </c>
      <c r="K310" s="1646">
        <v>20352000</v>
      </c>
      <c r="L310" s="1647">
        <v>22988350</v>
      </c>
      <c r="M310" s="1638">
        <f t="shared" si="0"/>
        <v>-2636350</v>
      </c>
    </row>
    <row r="311" spans="1:13" ht="15.75">
      <c r="A311" s="1610"/>
      <c r="B311" s="1639">
        <v>145</v>
      </c>
      <c r="C311" s="1640">
        <v>13</v>
      </c>
      <c r="D311" s="1640">
        <v>2145001</v>
      </c>
      <c r="E311" s="1641" t="s">
        <v>2654</v>
      </c>
      <c r="F311" s="1640" t="s">
        <v>2637</v>
      </c>
      <c r="G311" s="1642" t="s">
        <v>2638</v>
      </c>
      <c r="H311" s="1643">
        <v>6060000</v>
      </c>
      <c r="I311" s="1644" t="s">
        <v>2552</v>
      </c>
      <c r="J311" s="1645" t="s">
        <v>2387</v>
      </c>
      <c r="K311" s="1646">
        <v>18350000</v>
      </c>
      <c r="L311" s="1647">
        <v>19984736</v>
      </c>
      <c r="M311" s="1638">
        <f t="shared" si="0"/>
        <v>-1634736</v>
      </c>
    </row>
    <row r="312" spans="1:13" ht="15.75">
      <c r="A312" s="1610"/>
      <c r="B312" s="1639">
        <v>127</v>
      </c>
      <c r="C312" s="1640">
        <v>13</v>
      </c>
      <c r="D312" s="1640">
        <v>2127001</v>
      </c>
      <c r="E312" s="1641" t="s">
        <v>2655</v>
      </c>
      <c r="F312" s="1640" t="s">
        <v>2637</v>
      </c>
      <c r="G312" s="1642" t="s">
        <v>2638</v>
      </c>
      <c r="H312" s="1643">
        <v>6060000</v>
      </c>
      <c r="I312" s="1644" t="s">
        <v>2556</v>
      </c>
      <c r="J312" s="1645" t="s">
        <v>2387</v>
      </c>
      <c r="K312" s="1646">
        <v>10070000</v>
      </c>
      <c r="L312" s="1647">
        <v>11135572</v>
      </c>
      <c r="M312" s="1638">
        <f t="shared" si="0"/>
        <v>-1065572</v>
      </c>
    </row>
    <row r="313" spans="1:13" ht="15.75">
      <c r="A313" s="1610"/>
      <c r="B313" s="1639">
        <v>133</v>
      </c>
      <c r="C313" s="1640">
        <v>13</v>
      </c>
      <c r="D313" s="1640">
        <v>2133001</v>
      </c>
      <c r="E313" s="1641" t="s">
        <v>2656</v>
      </c>
      <c r="F313" s="1640" t="s">
        <v>2637</v>
      </c>
      <c r="G313" s="1642" t="s">
        <v>2638</v>
      </c>
      <c r="H313" s="1643">
        <v>6060000</v>
      </c>
      <c r="I313" s="1644" t="s">
        <v>2560</v>
      </c>
      <c r="J313" s="1645" t="s">
        <v>2387</v>
      </c>
      <c r="K313" s="1646">
        <v>12480000</v>
      </c>
      <c r="L313" s="1647">
        <v>12367640</v>
      </c>
      <c r="M313" s="1638">
        <f t="shared" si="0"/>
        <v>112360</v>
      </c>
    </row>
    <row r="314" spans="1:13" ht="15.75">
      <c r="A314" s="1610"/>
      <c r="B314" s="1639">
        <v>126</v>
      </c>
      <c r="C314" s="1640">
        <v>13</v>
      </c>
      <c r="D314" s="1640">
        <v>2126001</v>
      </c>
      <c r="E314" s="1641" t="s">
        <v>2565</v>
      </c>
      <c r="F314" s="1640" t="s">
        <v>2637</v>
      </c>
      <c r="G314" s="1642" t="s">
        <v>2638</v>
      </c>
      <c r="H314" s="1643">
        <v>6060000</v>
      </c>
      <c r="I314" s="1644" t="s">
        <v>2564</v>
      </c>
      <c r="J314" s="1645" t="s">
        <v>2387</v>
      </c>
      <c r="K314" s="1646">
        <v>9384000</v>
      </c>
      <c r="L314" s="1647">
        <v>10143902</v>
      </c>
      <c r="M314" s="1638">
        <f t="shared" si="0"/>
        <v>-759902</v>
      </c>
    </row>
    <row r="315" spans="1:13" ht="15.75">
      <c r="A315" s="1610"/>
      <c r="B315" s="1639">
        <v>130</v>
      </c>
      <c r="C315" s="1640">
        <v>13</v>
      </c>
      <c r="D315" s="1640">
        <v>2130001</v>
      </c>
      <c r="E315" s="1641" t="s">
        <v>2657</v>
      </c>
      <c r="F315" s="1640" t="s">
        <v>2637</v>
      </c>
      <c r="G315" s="1642" t="s">
        <v>2638</v>
      </c>
      <c r="H315" s="1643">
        <v>6060000</v>
      </c>
      <c r="I315" s="1644" t="s">
        <v>2568</v>
      </c>
      <c r="J315" s="1645" t="s">
        <v>2387</v>
      </c>
      <c r="K315" s="1646">
        <v>4725000</v>
      </c>
      <c r="L315" s="1647">
        <v>9094916</v>
      </c>
      <c r="M315" s="1638">
        <f t="shared" si="0"/>
        <v>-4369916</v>
      </c>
    </row>
    <row r="316" spans="1:13" ht="15.75">
      <c r="A316" s="1610"/>
      <c r="B316" s="1639">
        <v>141</v>
      </c>
      <c r="C316" s="1640">
        <v>13</v>
      </c>
      <c r="D316" s="1640">
        <v>2141001</v>
      </c>
      <c r="E316" s="1641" t="s">
        <v>2658</v>
      </c>
      <c r="F316" s="1640" t="s">
        <v>2637</v>
      </c>
      <c r="G316" s="1642" t="s">
        <v>2638</v>
      </c>
      <c r="H316" s="1643">
        <v>6060000</v>
      </c>
      <c r="I316" s="1644" t="s">
        <v>2572</v>
      </c>
      <c r="J316" s="1645" t="s">
        <v>2387</v>
      </c>
      <c r="K316" s="1646">
        <v>19883000</v>
      </c>
      <c r="L316" s="1647">
        <v>20402456</v>
      </c>
      <c r="M316" s="1638">
        <f t="shared" si="0"/>
        <v>-519456</v>
      </c>
    </row>
    <row r="317" spans="1:13" ht="15.75">
      <c r="A317" s="1610"/>
      <c r="B317" s="1639">
        <v>157</v>
      </c>
      <c r="C317" s="1640">
        <v>13</v>
      </c>
      <c r="D317" s="1640">
        <v>2157001</v>
      </c>
      <c r="E317" s="1641" t="s">
        <v>2659</v>
      </c>
      <c r="F317" s="1640" t="s">
        <v>2637</v>
      </c>
      <c r="G317" s="1642" t="s">
        <v>2638</v>
      </c>
      <c r="H317" s="1643">
        <v>6060000</v>
      </c>
      <c r="I317" s="1644" t="s">
        <v>2572</v>
      </c>
      <c r="J317" s="1645" t="s">
        <v>2387</v>
      </c>
      <c r="K317" s="1646">
        <v>11303000</v>
      </c>
      <c r="L317" s="1647">
        <v>11359944</v>
      </c>
      <c r="M317" s="1638">
        <f t="shared" si="0"/>
        <v>-56944</v>
      </c>
    </row>
    <row r="318" spans="1:13" ht="15.75">
      <c r="A318" s="1610"/>
      <c r="B318" s="1639">
        <v>137</v>
      </c>
      <c r="C318" s="1640">
        <v>13</v>
      </c>
      <c r="D318" s="1640">
        <v>2137001</v>
      </c>
      <c r="E318" s="1641" t="s">
        <v>2660</v>
      </c>
      <c r="F318" s="1640" t="s">
        <v>2637</v>
      </c>
      <c r="G318" s="1642" t="s">
        <v>2638</v>
      </c>
      <c r="H318" s="1643">
        <v>6060000</v>
      </c>
      <c r="I318" s="1644" t="s">
        <v>2579</v>
      </c>
      <c r="J318" s="1645" t="s">
        <v>2387</v>
      </c>
      <c r="K318" s="1646">
        <v>5584000</v>
      </c>
      <c r="L318" s="1647">
        <v>5363008</v>
      </c>
      <c r="M318" s="1638">
        <f t="shared" si="0"/>
        <v>220992</v>
      </c>
    </row>
    <row r="319" spans="1:13" ht="15.75">
      <c r="A319" s="1610"/>
      <c r="B319" s="1639">
        <v>155</v>
      </c>
      <c r="C319" s="1640">
        <v>13</v>
      </c>
      <c r="D319" s="1640">
        <v>2155001</v>
      </c>
      <c r="E319" s="1641" t="s">
        <v>2661</v>
      </c>
      <c r="F319" s="1640" t="s">
        <v>2637</v>
      </c>
      <c r="G319" s="1642" t="s">
        <v>2638</v>
      </c>
      <c r="H319" s="1643">
        <v>6060000</v>
      </c>
      <c r="I319" s="1644" t="s">
        <v>2579</v>
      </c>
      <c r="J319" s="1645" t="s">
        <v>2387</v>
      </c>
      <c r="K319" s="1646">
        <v>5520000</v>
      </c>
      <c r="L319" s="1647">
        <v>5281332</v>
      </c>
      <c r="M319" s="1638">
        <f t="shared" si="0"/>
        <v>238668</v>
      </c>
    </row>
    <row r="320" spans="1:13" ht="15.75">
      <c r="A320" s="1610"/>
      <c r="B320" s="1639">
        <v>101</v>
      </c>
      <c r="C320" s="1640">
        <v>13</v>
      </c>
      <c r="D320" s="1640">
        <v>2101001</v>
      </c>
      <c r="E320" s="1641" t="s">
        <v>2662</v>
      </c>
      <c r="F320" s="1640" t="s">
        <v>2637</v>
      </c>
      <c r="G320" s="1642" t="s">
        <v>2638</v>
      </c>
      <c r="H320" s="1643">
        <v>6060000</v>
      </c>
      <c r="I320" s="1644" t="s">
        <v>2372</v>
      </c>
      <c r="J320" s="1645" t="s">
        <v>2387</v>
      </c>
      <c r="K320" s="1646">
        <v>26977000</v>
      </c>
      <c r="L320" s="1647">
        <v>27017326</v>
      </c>
      <c r="M320" s="1638">
        <f t="shared" si="0"/>
        <v>-40326</v>
      </c>
    </row>
    <row r="321" spans="1:13" ht="15.75">
      <c r="A321" s="1610"/>
      <c r="B321" s="1639">
        <v>166</v>
      </c>
      <c r="C321" s="1640">
        <v>13</v>
      </c>
      <c r="D321" s="1640">
        <v>2166001</v>
      </c>
      <c r="E321" s="1641" t="s">
        <v>2589</v>
      </c>
      <c r="F321" s="1640" t="s">
        <v>2637</v>
      </c>
      <c r="G321" s="1642" t="s">
        <v>2638</v>
      </c>
      <c r="H321" s="1643">
        <v>6060000</v>
      </c>
      <c r="I321" s="1644" t="s">
        <v>2372</v>
      </c>
      <c r="J321" s="1645" t="s">
        <v>2387</v>
      </c>
      <c r="K321" s="1646">
        <v>6412000</v>
      </c>
      <c r="L321" s="1647">
        <v>6895704</v>
      </c>
      <c r="M321" s="1638">
        <f t="shared" si="0"/>
        <v>-483704</v>
      </c>
    </row>
    <row r="322" spans="1:13" ht="15.75">
      <c r="A322" s="1610"/>
      <c r="B322" s="1639">
        <v>165</v>
      </c>
      <c r="C322" s="1640">
        <v>13</v>
      </c>
      <c r="D322" s="1640">
        <v>2165001</v>
      </c>
      <c r="E322" s="1641" t="s">
        <v>2663</v>
      </c>
      <c r="F322" s="1640" t="s">
        <v>2637</v>
      </c>
      <c r="G322" s="1642" t="s">
        <v>2638</v>
      </c>
      <c r="H322" s="1643">
        <v>6060000</v>
      </c>
      <c r="I322" s="1644" t="s">
        <v>2372</v>
      </c>
      <c r="J322" s="1645" t="s">
        <v>2387</v>
      </c>
      <c r="K322" s="1646">
        <v>1210000</v>
      </c>
      <c r="L322" s="1647">
        <v>1217920</v>
      </c>
      <c r="M322" s="1638">
        <f t="shared" si="0"/>
        <v>-7920</v>
      </c>
    </row>
    <row r="323" spans="1:13" ht="15.75">
      <c r="A323" s="1610"/>
      <c r="B323" s="1639">
        <v>118</v>
      </c>
      <c r="C323" s="1640">
        <v>13</v>
      </c>
      <c r="D323" s="1640">
        <v>2118001</v>
      </c>
      <c r="E323" s="1641" t="s">
        <v>2664</v>
      </c>
      <c r="F323" s="1640" t="s">
        <v>2637</v>
      </c>
      <c r="G323" s="1642" t="s">
        <v>2638</v>
      </c>
      <c r="H323" s="1643">
        <v>6060000</v>
      </c>
      <c r="I323" s="1644" t="s">
        <v>2595</v>
      </c>
      <c r="J323" s="1645" t="s">
        <v>2387</v>
      </c>
      <c r="K323" s="1646">
        <v>4567000</v>
      </c>
      <c r="L323" s="1647">
        <v>4750748</v>
      </c>
      <c r="M323" s="1638">
        <f t="shared" si="0"/>
        <v>-183748</v>
      </c>
    </row>
    <row r="324" spans="1:13" ht="15.75">
      <c r="A324" s="1610"/>
      <c r="B324" s="1639">
        <v>119</v>
      </c>
      <c r="C324" s="1640">
        <v>13</v>
      </c>
      <c r="D324" s="1640">
        <v>2119001</v>
      </c>
      <c r="E324" s="1641" t="s">
        <v>2665</v>
      </c>
      <c r="F324" s="1640" t="s">
        <v>2637</v>
      </c>
      <c r="G324" s="1642" t="s">
        <v>2638</v>
      </c>
      <c r="H324" s="1643">
        <v>6060000</v>
      </c>
      <c r="I324" s="1644" t="s">
        <v>2595</v>
      </c>
      <c r="J324" s="1645" t="s">
        <v>2387</v>
      </c>
      <c r="K324" s="1646">
        <v>2965000</v>
      </c>
      <c r="L324" s="1647">
        <v>3028376</v>
      </c>
      <c r="M324" s="1638">
        <f t="shared" si="0"/>
        <v>-63376</v>
      </c>
    </row>
    <row r="325" spans="1:13" ht="15.75">
      <c r="A325" s="1610"/>
      <c r="B325" s="1639">
        <v>146</v>
      </c>
      <c r="C325" s="1640">
        <v>13</v>
      </c>
      <c r="D325" s="1640">
        <v>2146001</v>
      </c>
      <c r="E325" s="1641" t="s">
        <v>2666</v>
      </c>
      <c r="F325" s="1640" t="s">
        <v>2637</v>
      </c>
      <c r="G325" s="1642" t="s">
        <v>2638</v>
      </c>
      <c r="H325" s="1643">
        <v>6060000</v>
      </c>
      <c r="I325" s="1644" t="s">
        <v>2336</v>
      </c>
      <c r="J325" s="1645" t="s">
        <v>2387</v>
      </c>
      <c r="K325" s="1646">
        <v>7720000</v>
      </c>
      <c r="L325" s="1647">
        <v>7511316</v>
      </c>
      <c r="M325" s="1638">
        <f t="shared" si="0"/>
        <v>208684</v>
      </c>
    </row>
    <row r="326" spans="1:13" ht="15.75">
      <c r="A326" s="1610"/>
      <c r="B326" s="1639">
        <v>159</v>
      </c>
      <c r="C326" s="1640">
        <v>13</v>
      </c>
      <c r="D326" s="1640">
        <v>2159001</v>
      </c>
      <c r="E326" s="1641" t="s">
        <v>2667</v>
      </c>
      <c r="F326" s="1640" t="s">
        <v>2637</v>
      </c>
      <c r="G326" s="1642" t="s">
        <v>2638</v>
      </c>
      <c r="H326" s="1643">
        <v>6060000</v>
      </c>
      <c r="I326" s="1644" t="s">
        <v>2336</v>
      </c>
      <c r="J326" s="1645" t="s">
        <v>2387</v>
      </c>
      <c r="K326" s="1646">
        <v>4121000</v>
      </c>
      <c r="L326" s="1647">
        <v>4672272</v>
      </c>
      <c r="M326" s="1638">
        <f t="shared" si="0"/>
        <v>-551272</v>
      </c>
    </row>
    <row r="327" spans="1:13" ht="15.75">
      <c r="A327" s="1610"/>
      <c r="B327" s="1639">
        <v>160</v>
      </c>
      <c r="C327" s="1640">
        <v>13</v>
      </c>
      <c r="D327" s="1640">
        <v>2160001</v>
      </c>
      <c r="E327" s="1641" t="s">
        <v>2668</v>
      </c>
      <c r="F327" s="1640" t="s">
        <v>2637</v>
      </c>
      <c r="G327" s="1642" t="s">
        <v>2638</v>
      </c>
      <c r="H327" s="1643">
        <v>6060000</v>
      </c>
      <c r="I327" s="1644" t="s">
        <v>2336</v>
      </c>
      <c r="J327" s="1645" t="s">
        <v>2387</v>
      </c>
      <c r="K327" s="1646">
        <v>730000</v>
      </c>
      <c r="L327" s="1647">
        <v>730920</v>
      </c>
      <c r="M327" s="1638">
        <f t="shared" si="0"/>
        <v>-920</v>
      </c>
    </row>
    <row r="328" spans="1:13" ht="15.75">
      <c r="A328" s="1610"/>
      <c r="B328" s="1639">
        <v>138</v>
      </c>
      <c r="C328" s="1640">
        <v>13</v>
      </c>
      <c r="D328" s="1640">
        <v>2138001</v>
      </c>
      <c r="E328" s="1641" t="s">
        <v>2669</v>
      </c>
      <c r="F328" s="1640" t="s">
        <v>2637</v>
      </c>
      <c r="G328" s="1642" t="s">
        <v>2638</v>
      </c>
      <c r="H328" s="1643">
        <v>6060000</v>
      </c>
      <c r="I328" s="1644" t="s">
        <v>2611</v>
      </c>
      <c r="J328" s="1645" t="s">
        <v>2387</v>
      </c>
      <c r="K328" s="1646">
        <v>2120000</v>
      </c>
      <c r="L328" s="1647">
        <v>2309431</v>
      </c>
      <c r="M328" s="1638">
        <f t="shared" si="0"/>
        <v>-189431</v>
      </c>
    </row>
    <row r="329" spans="1:13" ht="15.75">
      <c r="A329" s="1610"/>
      <c r="B329" s="1639">
        <v>156</v>
      </c>
      <c r="C329" s="1640">
        <v>13</v>
      </c>
      <c r="D329" s="1640">
        <v>2156001</v>
      </c>
      <c r="E329" s="1641" t="s">
        <v>2615</v>
      </c>
      <c r="F329" s="1640" t="s">
        <v>2637</v>
      </c>
      <c r="G329" s="1642" t="s">
        <v>2638</v>
      </c>
      <c r="H329" s="1643">
        <v>6060000</v>
      </c>
      <c r="I329" s="1644" t="s">
        <v>2611</v>
      </c>
      <c r="J329" s="1645" t="s">
        <v>2387</v>
      </c>
      <c r="K329" s="1646">
        <v>881000</v>
      </c>
      <c r="L329" s="1647">
        <v>804740</v>
      </c>
      <c r="M329" s="1638">
        <f t="shared" si="0"/>
        <v>76260</v>
      </c>
    </row>
    <row r="330" spans="1:13" ht="15.75">
      <c r="A330" s="1610"/>
      <c r="B330" s="1639">
        <v>326</v>
      </c>
      <c r="C330" s="1640">
        <v>13</v>
      </c>
      <c r="D330" s="1640">
        <v>2326001</v>
      </c>
      <c r="E330" s="1641" t="s">
        <v>2619</v>
      </c>
      <c r="F330" s="1640" t="s">
        <v>2637</v>
      </c>
      <c r="G330" s="1642" t="s">
        <v>2638</v>
      </c>
      <c r="H330" s="1643">
        <v>6060000</v>
      </c>
      <c r="I330" s="1644" t="s">
        <v>2618</v>
      </c>
      <c r="J330" s="1645" t="s">
        <v>2387</v>
      </c>
      <c r="K330" s="1646">
        <v>420000</v>
      </c>
      <c r="L330" s="1647">
        <v>323200</v>
      </c>
      <c r="M330" s="1638">
        <f t="shared" si="0"/>
        <v>96800</v>
      </c>
    </row>
    <row r="331" spans="1:13" ht="16.5" thickBot="1">
      <c r="A331" s="1610"/>
      <c r="B331" s="1650">
        <v>104</v>
      </c>
      <c r="C331" s="1651">
        <v>13</v>
      </c>
      <c r="D331" s="1651">
        <v>2104001</v>
      </c>
      <c r="E331" s="1652" t="s">
        <v>2670</v>
      </c>
      <c r="F331" s="1651" t="s">
        <v>2637</v>
      </c>
      <c r="G331" s="1653" t="s">
        <v>2638</v>
      </c>
      <c r="H331" s="1654">
        <v>6060000</v>
      </c>
      <c r="I331" s="1655" t="s">
        <v>2618</v>
      </c>
      <c r="J331" s="1656" t="s">
        <v>2387</v>
      </c>
      <c r="K331" s="1657">
        <v>940000</v>
      </c>
      <c r="L331" s="1658">
        <v>1458640</v>
      </c>
      <c r="M331" s="1638">
        <f t="shared" si="0"/>
        <v>-518640</v>
      </c>
    </row>
    <row r="332" spans="1:13" ht="15.75">
      <c r="A332" s="1610"/>
      <c r="B332" s="1659">
        <v>102</v>
      </c>
      <c r="C332" s="1660">
        <v>13</v>
      </c>
      <c r="D332" s="1660">
        <v>2102001</v>
      </c>
      <c r="E332" s="1661" t="s">
        <v>2419</v>
      </c>
      <c r="F332" s="1660" t="s">
        <v>2637</v>
      </c>
      <c r="G332" s="1662" t="s">
        <v>2638</v>
      </c>
      <c r="H332" s="1663">
        <v>6060000</v>
      </c>
      <c r="I332" s="1634" t="s">
        <v>2361</v>
      </c>
      <c r="J332" s="1664" t="s">
        <v>2388</v>
      </c>
      <c r="K332" s="1665">
        <v>61020000</v>
      </c>
      <c r="L332" s="1666">
        <v>60565928</v>
      </c>
      <c r="M332" s="1638">
        <f t="shared" si="0"/>
        <v>454072</v>
      </c>
    </row>
    <row r="333" spans="1:13" ht="15.75">
      <c r="A333" s="1610"/>
      <c r="B333" s="1639" t="s">
        <v>2420</v>
      </c>
      <c r="C333" s="1640">
        <v>13</v>
      </c>
      <c r="D333" s="1640">
        <v>2167001</v>
      </c>
      <c r="E333" s="1641" t="s">
        <v>2422</v>
      </c>
      <c r="F333" s="1640" t="s">
        <v>2637</v>
      </c>
      <c r="G333" s="1642" t="s">
        <v>2638</v>
      </c>
      <c r="H333" s="1643">
        <v>6060000</v>
      </c>
      <c r="I333" s="1644" t="s">
        <v>2361</v>
      </c>
      <c r="J333" s="1645" t="s">
        <v>2388</v>
      </c>
      <c r="K333" s="1646">
        <v>23585000</v>
      </c>
      <c r="L333" s="1667">
        <v>23435411</v>
      </c>
      <c r="M333" s="1638">
        <f t="shared" si="0"/>
        <v>149589</v>
      </c>
    </row>
    <row r="334" spans="1:13" ht="15.75">
      <c r="A334" s="1610"/>
      <c r="B334" s="1639" t="s">
        <v>2423</v>
      </c>
      <c r="C334" s="1640">
        <v>13</v>
      </c>
      <c r="D334" s="1640">
        <v>2124001</v>
      </c>
      <c r="E334" s="1641" t="s">
        <v>2426</v>
      </c>
      <c r="F334" s="1640" t="s">
        <v>2637</v>
      </c>
      <c r="G334" s="1642" t="s">
        <v>2638</v>
      </c>
      <c r="H334" s="1643">
        <v>6060000</v>
      </c>
      <c r="I334" s="1644" t="s">
        <v>2425</v>
      </c>
      <c r="J334" s="1645" t="s">
        <v>2388</v>
      </c>
      <c r="K334" s="1646">
        <v>32284000</v>
      </c>
      <c r="L334" s="1667">
        <v>32228712</v>
      </c>
      <c r="M334" s="1638">
        <f t="shared" si="0"/>
        <v>55288</v>
      </c>
    </row>
    <row r="335" spans="1:13" ht="15.75">
      <c r="A335" s="1610"/>
      <c r="B335" s="1639">
        <v>139</v>
      </c>
      <c r="C335" s="1640">
        <v>13</v>
      </c>
      <c r="D335" s="1640">
        <v>2139001</v>
      </c>
      <c r="E335" s="1641" t="s">
        <v>2429</v>
      </c>
      <c r="F335" s="1640" t="s">
        <v>2637</v>
      </c>
      <c r="G335" s="1642" t="s">
        <v>2638</v>
      </c>
      <c r="H335" s="1643">
        <v>6060000</v>
      </c>
      <c r="I335" s="1644" t="s">
        <v>2333</v>
      </c>
      <c r="J335" s="1645" t="s">
        <v>2388</v>
      </c>
      <c r="K335" s="1646">
        <v>15214000</v>
      </c>
      <c r="L335" s="1667">
        <v>15090193</v>
      </c>
      <c r="M335" s="1638">
        <f t="shared" si="0"/>
        <v>123807</v>
      </c>
    </row>
    <row r="336" spans="1:13" ht="15.75">
      <c r="A336" s="1610"/>
      <c r="B336" s="1639">
        <v>140</v>
      </c>
      <c r="C336" s="1640">
        <v>13</v>
      </c>
      <c r="D336" s="1640">
        <v>2140001</v>
      </c>
      <c r="E336" s="1641" t="s">
        <v>2431</v>
      </c>
      <c r="F336" s="1640" t="s">
        <v>2637</v>
      </c>
      <c r="G336" s="1642" t="s">
        <v>2638</v>
      </c>
      <c r="H336" s="1643">
        <v>6060000</v>
      </c>
      <c r="I336" s="1644" t="s">
        <v>2333</v>
      </c>
      <c r="J336" s="1645" t="s">
        <v>2388</v>
      </c>
      <c r="K336" s="1646">
        <v>13573000</v>
      </c>
      <c r="L336" s="1667">
        <v>12975869</v>
      </c>
      <c r="M336" s="1638">
        <f t="shared" ref="M336:M392" si="1">K336-L336</f>
        <v>597131</v>
      </c>
    </row>
    <row r="337" spans="1:13" ht="15.75">
      <c r="A337" s="1610"/>
      <c r="B337" s="1639">
        <v>106</v>
      </c>
      <c r="C337" s="1640">
        <v>13</v>
      </c>
      <c r="D337" s="1648">
        <v>2106001</v>
      </c>
      <c r="E337" s="1641" t="s">
        <v>2432</v>
      </c>
      <c r="F337" s="1640" t="s">
        <v>2637</v>
      </c>
      <c r="G337" s="1642" t="s">
        <v>2638</v>
      </c>
      <c r="H337" s="1643">
        <v>6060000</v>
      </c>
      <c r="I337" s="1644" t="s">
        <v>2392</v>
      </c>
      <c r="J337" s="1645" t="s">
        <v>2388</v>
      </c>
      <c r="K337" s="1646">
        <v>65840000</v>
      </c>
      <c r="L337" s="1668">
        <v>65733273</v>
      </c>
      <c r="M337" s="1638">
        <f t="shared" si="1"/>
        <v>106727</v>
      </c>
    </row>
    <row r="338" spans="1:13" ht="15.75">
      <c r="A338" s="1610"/>
      <c r="B338" s="1639">
        <v>103</v>
      </c>
      <c r="C338" s="1640">
        <v>13</v>
      </c>
      <c r="D338" s="1640">
        <v>2103001</v>
      </c>
      <c r="E338" s="1641" t="s">
        <v>2436</v>
      </c>
      <c r="F338" s="1640" t="s">
        <v>2637</v>
      </c>
      <c r="G338" s="1642" t="s">
        <v>2638</v>
      </c>
      <c r="H338" s="1643">
        <v>6060000</v>
      </c>
      <c r="I338" s="1644" t="s">
        <v>2435</v>
      </c>
      <c r="J338" s="1645" t="s">
        <v>2388</v>
      </c>
      <c r="K338" s="1646">
        <v>28040000</v>
      </c>
      <c r="L338" s="1668">
        <v>27376000</v>
      </c>
      <c r="M338" s="1638">
        <f t="shared" si="1"/>
        <v>664000</v>
      </c>
    </row>
    <row r="339" spans="1:13" ht="15.75">
      <c r="A339" s="1610"/>
      <c r="B339" s="1639">
        <v>132</v>
      </c>
      <c r="C339" s="1640">
        <v>13</v>
      </c>
      <c r="D339" s="1640">
        <v>2132001</v>
      </c>
      <c r="E339" s="1641" t="s">
        <v>2440</v>
      </c>
      <c r="F339" s="1640" t="s">
        <v>2637</v>
      </c>
      <c r="G339" s="1642" t="s">
        <v>2638</v>
      </c>
      <c r="H339" s="1643">
        <v>6060000</v>
      </c>
      <c r="I339" s="1644" t="s">
        <v>2639</v>
      </c>
      <c r="J339" s="1645" t="s">
        <v>2388</v>
      </c>
      <c r="K339" s="1646">
        <v>29443000</v>
      </c>
      <c r="L339" s="1668">
        <v>28743143</v>
      </c>
      <c r="M339" s="1638">
        <f t="shared" si="1"/>
        <v>699857</v>
      </c>
    </row>
    <row r="340" spans="1:13" ht="15.75">
      <c r="A340" s="1610"/>
      <c r="B340" s="1639">
        <v>654</v>
      </c>
      <c r="C340" s="1640">
        <v>13</v>
      </c>
      <c r="D340" s="1640">
        <v>2654001</v>
      </c>
      <c r="E340" s="1641" t="s">
        <v>2443</v>
      </c>
      <c r="F340" s="1640" t="s">
        <v>2637</v>
      </c>
      <c r="G340" s="1642" t="s">
        <v>2638</v>
      </c>
      <c r="H340" s="1643">
        <v>6060000</v>
      </c>
      <c r="I340" s="1644" t="s">
        <v>2639</v>
      </c>
      <c r="J340" s="1645" t="s">
        <v>2388</v>
      </c>
      <c r="K340" s="1646">
        <v>20585000</v>
      </c>
      <c r="L340" s="1668">
        <v>19331705</v>
      </c>
      <c r="M340" s="1638">
        <f t="shared" si="1"/>
        <v>1253295</v>
      </c>
    </row>
    <row r="341" spans="1:13" ht="15.75">
      <c r="A341" s="1610"/>
      <c r="B341" s="1639">
        <v>107</v>
      </c>
      <c r="C341" s="1640">
        <v>13</v>
      </c>
      <c r="D341" s="1640">
        <v>2107001</v>
      </c>
      <c r="E341" s="1641" t="s">
        <v>2640</v>
      </c>
      <c r="F341" s="1640" t="s">
        <v>2637</v>
      </c>
      <c r="G341" s="1642" t="s">
        <v>2638</v>
      </c>
      <c r="H341" s="1643">
        <v>6060000</v>
      </c>
      <c r="I341" s="1644" t="s">
        <v>2349</v>
      </c>
      <c r="J341" s="1645" t="s">
        <v>2388</v>
      </c>
      <c r="K341" s="1646">
        <v>164070000</v>
      </c>
      <c r="L341" s="1667">
        <v>160091858</v>
      </c>
      <c r="M341" s="1638">
        <f t="shared" si="1"/>
        <v>3978142</v>
      </c>
    </row>
    <row r="342" spans="1:13" ht="15.75">
      <c r="A342" s="1610"/>
      <c r="B342" s="1639">
        <v>108</v>
      </c>
      <c r="C342" s="1640">
        <v>13</v>
      </c>
      <c r="D342" s="1640">
        <v>2108001</v>
      </c>
      <c r="E342" s="1641" t="s">
        <v>2449</v>
      </c>
      <c r="F342" s="1640" t="s">
        <v>2637</v>
      </c>
      <c r="G342" s="1642" t="s">
        <v>2638</v>
      </c>
      <c r="H342" s="1643">
        <v>6060000</v>
      </c>
      <c r="I342" s="1644" t="s">
        <v>2349</v>
      </c>
      <c r="J342" s="1645" t="s">
        <v>2388</v>
      </c>
      <c r="K342" s="1646">
        <v>27625000</v>
      </c>
      <c r="L342" s="1667">
        <v>27988763</v>
      </c>
      <c r="M342" s="1638">
        <f t="shared" si="1"/>
        <v>-363763</v>
      </c>
    </row>
    <row r="343" spans="1:13" ht="15.75">
      <c r="A343" s="1610"/>
      <c r="B343" s="1639">
        <v>123</v>
      </c>
      <c r="C343" s="1640">
        <v>13</v>
      </c>
      <c r="D343" s="1640">
        <v>2123001</v>
      </c>
      <c r="E343" s="1641" t="s">
        <v>2641</v>
      </c>
      <c r="F343" s="1640" t="s">
        <v>2637</v>
      </c>
      <c r="G343" s="1642" t="s">
        <v>2638</v>
      </c>
      <c r="H343" s="1643">
        <v>6060000</v>
      </c>
      <c r="I343" s="1644" t="s">
        <v>2452</v>
      </c>
      <c r="J343" s="1645" t="s">
        <v>2388</v>
      </c>
      <c r="K343" s="1646">
        <v>56100000</v>
      </c>
      <c r="L343" s="1667">
        <v>55518719</v>
      </c>
      <c r="M343" s="1638">
        <f t="shared" si="1"/>
        <v>581281</v>
      </c>
    </row>
    <row r="344" spans="1:13" ht="15.75">
      <c r="A344" s="1610"/>
      <c r="B344" s="1639">
        <v>109</v>
      </c>
      <c r="C344" s="1640">
        <v>13</v>
      </c>
      <c r="D344" s="1640">
        <v>2109001</v>
      </c>
      <c r="E344" s="1641" t="s">
        <v>2456</v>
      </c>
      <c r="F344" s="1640" t="s">
        <v>2637</v>
      </c>
      <c r="G344" s="1642" t="s">
        <v>2638</v>
      </c>
      <c r="H344" s="1643">
        <v>6060000</v>
      </c>
      <c r="I344" s="1644" t="s">
        <v>2397</v>
      </c>
      <c r="J344" s="1645" t="s">
        <v>2388</v>
      </c>
      <c r="K344" s="1646">
        <v>206380000</v>
      </c>
      <c r="L344" s="1667">
        <v>206924499</v>
      </c>
      <c r="M344" s="1638">
        <f t="shared" si="1"/>
        <v>-544499</v>
      </c>
    </row>
    <row r="345" spans="1:13" ht="15.75">
      <c r="A345" s="1610"/>
      <c r="B345" s="1639">
        <v>110</v>
      </c>
      <c r="C345" s="1640">
        <v>13</v>
      </c>
      <c r="D345" s="1640">
        <v>2110001</v>
      </c>
      <c r="E345" s="1641" t="s">
        <v>2642</v>
      </c>
      <c r="F345" s="1640" t="s">
        <v>2637</v>
      </c>
      <c r="G345" s="1642" t="s">
        <v>2638</v>
      </c>
      <c r="H345" s="1643">
        <v>6060000</v>
      </c>
      <c r="I345" s="1644" t="s">
        <v>2397</v>
      </c>
      <c r="J345" s="1645" t="s">
        <v>2388</v>
      </c>
      <c r="K345" s="1646">
        <v>38045000</v>
      </c>
      <c r="L345" s="1667">
        <v>37649962</v>
      </c>
      <c r="M345" s="1638">
        <f t="shared" si="1"/>
        <v>395038</v>
      </c>
    </row>
    <row r="346" spans="1:13" ht="15.75">
      <c r="A346" s="1610"/>
      <c r="B346" s="1639">
        <v>152</v>
      </c>
      <c r="C346" s="1640">
        <v>13</v>
      </c>
      <c r="D346" s="1640">
        <v>2152001</v>
      </c>
      <c r="E346" s="1641" t="s">
        <v>2462</v>
      </c>
      <c r="F346" s="1640" t="s">
        <v>2637</v>
      </c>
      <c r="G346" s="1642" t="s">
        <v>2638</v>
      </c>
      <c r="H346" s="1643">
        <v>6060000</v>
      </c>
      <c r="I346" s="1644" t="s">
        <v>2397</v>
      </c>
      <c r="J346" s="1645" t="s">
        <v>2388</v>
      </c>
      <c r="K346" s="1646">
        <v>25260000</v>
      </c>
      <c r="L346" s="1667">
        <v>25422417</v>
      </c>
      <c r="M346" s="1638">
        <f t="shared" si="1"/>
        <v>-162417</v>
      </c>
    </row>
    <row r="347" spans="1:13" ht="15.75">
      <c r="A347" s="1610"/>
      <c r="B347" s="1639">
        <v>134</v>
      </c>
      <c r="C347" s="1640">
        <v>13</v>
      </c>
      <c r="D347" s="1640">
        <v>2134001</v>
      </c>
      <c r="E347" s="1641" t="s">
        <v>2466</v>
      </c>
      <c r="F347" s="1640" t="s">
        <v>2637</v>
      </c>
      <c r="G347" s="1642" t="s">
        <v>2638</v>
      </c>
      <c r="H347" s="1643">
        <v>6060000</v>
      </c>
      <c r="I347" s="1644" t="s">
        <v>2465</v>
      </c>
      <c r="J347" s="1645" t="s">
        <v>2388</v>
      </c>
      <c r="K347" s="1646">
        <v>34525000</v>
      </c>
      <c r="L347" s="1667">
        <v>33891317</v>
      </c>
      <c r="M347" s="1638">
        <f t="shared" si="1"/>
        <v>633683</v>
      </c>
    </row>
    <row r="348" spans="1:13" ht="15.75">
      <c r="A348" s="1610"/>
      <c r="B348" s="1639">
        <v>114</v>
      </c>
      <c r="C348" s="1640">
        <v>13</v>
      </c>
      <c r="D348" s="1640">
        <v>2114001</v>
      </c>
      <c r="E348" s="1641" t="s">
        <v>2470</v>
      </c>
      <c r="F348" s="1640" t="s">
        <v>2637</v>
      </c>
      <c r="G348" s="1642" t="s">
        <v>2638</v>
      </c>
      <c r="H348" s="1643">
        <v>6060000</v>
      </c>
      <c r="I348" s="1644" t="s">
        <v>2469</v>
      </c>
      <c r="J348" s="1645" t="s">
        <v>2388</v>
      </c>
      <c r="K348" s="1646">
        <v>42122000</v>
      </c>
      <c r="L348" s="1667">
        <v>41369826</v>
      </c>
      <c r="M348" s="1638">
        <f t="shared" si="1"/>
        <v>752174</v>
      </c>
    </row>
    <row r="349" spans="1:13" ht="15.75">
      <c r="A349" s="1610"/>
      <c r="B349" s="1639">
        <v>128</v>
      </c>
      <c r="C349" s="1640">
        <v>13</v>
      </c>
      <c r="D349" s="1640">
        <v>2128001</v>
      </c>
      <c r="E349" s="1641" t="s">
        <v>2474</v>
      </c>
      <c r="F349" s="1640" t="s">
        <v>2637</v>
      </c>
      <c r="G349" s="1642" t="s">
        <v>2638</v>
      </c>
      <c r="H349" s="1643">
        <v>6060000</v>
      </c>
      <c r="I349" s="1644" t="s">
        <v>2473</v>
      </c>
      <c r="J349" s="1645" t="s">
        <v>2388</v>
      </c>
      <c r="K349" s="1646">
        <v>45725000</v>
      </c>
      <c r="L349" s="1667">
        <v>47237415</v>
      </c>
      <c r="M349" s="1638">
        <f t="shared" si="1"/>
        <v>-1512415</v>
      </c>
    </row>
    <row r="350" spans="1:13" ht="15.75">
      <c r="A350" s="1610"/>
      <c r="B350" s="1639">
        <v>153</v>
      </c>
      <c r="C350" s="1640">
        <v>13</v>
      </c>
      <c r="D350" s="1640">
        <v>2153001</v>
      </c>
      <c r="E350" s="1641" t="s">
        <v>2477</v>
      </c>
      <c r="F350" s="1640" t="s">
        <v>2637</v>
      </c>
      <c r="G350" s="1642" t="s">
        <v>2638</v>
      </c>
      <c r="H350" s="1643">
        <v>6060000</v>
      </c>
      <c r="I350" s="1644" t="s">
        <v>2473</v>
      </c>
      <c r="J350" s="1645" t="s">
        <v>2388</v>
      </c>
      <c r="K350" s="1646">
        <v>33755000</v>
      </c>
      <c r="L350" s="1667">
        <v>33866466</v>
      </c>
      <c r="M350" s="1638">
        <f t="shared" si="1"/>
        <v>-111466</v>
      </c>
    </row>
    <row r="351" spans="1:13" ht="15.75">
      <c r="A351" s="1610"/>
      <c r="B351" s="1639">
        <v>111</v>
      </c>
      <c r="C351" s="1640">
        <v>13</v>
      </c>
      <c r="D351" s="1640">
        <v>2111001</v>
      </c>
      <c r="E351" s="1641" t="s">
        <v>2480</v>
      </c>
      <c r="F351" s="1640" t="s">
        <v>2637</v>
      </c>
      <c r="G351" s="1642" t="s">
        <v>2638</v>
      </c>
      <c r="H351" s="1643">
        <v>6060000</v>
      </c>
      <c r="I351" s="1644" t="s">
        <v>2325</v>
      </c>
      <c r="J351" s="1645" t="s">
        <v>2388</v>
      </c>
      <c r="K351" s="1646">
        <v>116675000</v>
      </c>
      <c r="L351" s="1667">
        <v>124198656</v>
      </c>
      <c r="M351" s="1638">
        <f t="shared" si="1"/>
        <v>-7523656</v>
      </c>
    </row>
    <row r="352" spans="1:13" ht="15.75">
      <c r="A352" s="1610"/>
      <c r="B352" s="1639">
        <v>112</v>
      </c>
      <c r="C352" s="1640">
        <v>13</v>
      </c>
      <c r="D352" s="1640">
        <v>2112001</v>
      </c>
      <c r="E352" s="1641" t="s">
        <v>2483</v>
      </c>
      <c r="F352" s="1640" t="s">
        <v>2637</v>
      </c>
      <c r="G352" s="1642" t="s">
        <v>2638</v>
      </c>
      <c r="H352" s="1643">
        <v>6060000</v>
      </c>
      <c r="I352" s="1644" t="s">
        <v>2325</v>
      </c>
      <c r="J352" s="1645" t="s">
        <v>2388</v>
      </c>
      <c r="K352" s="1646">
        <v>27690000</v>
      </c>
      <c r="L352" s="1667">
        <v>27231877</v>
      </c>
      <c r="M352" s="1638">
        <f t="shared" si="1"/>
        <v>458123</v>
      </c>
    </row>
    <row r="353" spans="1:13" ht="15.75">
      <c r="A353" s="1610"/>
      <c r="B353" s="1639">
        <v>113</v>
      </c>
      <c r="C353" s="1640">
        <v>13</v>
      </c>
      <c r="D353" s="1640">
        <v>2113001</v>
      </c>
      <c r="E353" s="1641" t="s">
        <v>2486</v>
      </c>
      <c r="F353" s="1640" t="s">
        <v>2637</v>
      </c>
      <c r="G353" s="1642" t="s">
        <v>2638</v>
      </c>
      <c r="H353" s="1643">
        <v>6060000</v>
      </c>
      <c r="I353" s="1644" t="s">
        <v>2325</v>
      </c>
      <c r="J353" s="1645" t="s">
        <v>2388</v>
      </c>
      <c r="K353" s="1646">
        <v>21980000</v>
      </c>
      <c r="L353" s="1667">
        <v>21974979</v>
      </c>
      <c r="M353" s="1638">
        <f t="shared" si="1"/>
        <v>5021</v>
      </c>
    </row>
    <row r="354" spans="1:13" ht="15.75">
      <c r="A354" s="1610"/>
      <c r="B354" s="1639">
        <v>129</v>
      </c>
      <c r="C354" s="1640">
        <v>13</v>
      </c>
      <c r="D354" s="1640">
        <v>2129001</v>
      </c>
      <c r="E354" s="1641" t="s">
        <v>2643</v>
      </c>
      <c r="F354" s="1640" t="s">
        <v>2637</v>
      </c>
      <c r="G354" s="1642" t="s">
        <v>2638</v>
      </c>
      <c r="H354" s="1643">
        <v>6060000</v>
      </c>
      <c r="I354" s="1644" t="s">
        <v>2489</v>
      </c>
      <c r="J354" s="1645" t="s">
        <v>2388</v>
      </c>
      <c r="K354" s="1646">
        <v>85322000</v>
      </c>
      <c r="L354" s="1667">
        <v>82054424</v>
      </c>
      <c r="M354" s="1638">
        <f t="shared" si="1"/>
        <v>3267576</v>
      </c>
    </row>
    <row r="355" spans="1:13" ht="15.75">
      <c r="A355" s="1610"/>
      <c r="B355" s="1639">
        <v>147</v>
      </c>
      <c r="C355" s="1640">
        <v>13</v>
      </c>
      <c r="D355" s="1640">
        <v>2147001</v>
      </c>
      <c r="E355" s="1641" t="s">
        <v>2644</v>
      </c>
      <c r="F355" s="1640" t="s">
        <v>2637</v>
      </c>
      <c r="G355" s="1642" t="s">
        <v>2638</v>
      </c>
      <c r="H355" s="1643">
        <v>6060000</v>
      </c>
      <c r="I355" s="1644" t="s">
        <v>2489</v>
      </c>
      <c r="J355" s="1645" t="s">
        <v>2388</v>
      </c>
      <c r="K355" s="1646">
        <v>29922000</v>
      </c>
      <c r="L355" s="1667">
        <v>29855959</v>
      </c>
      <c r="M355" s="1638">
        <f t="shared" si="1"/>
        <v>66041</v>
      </c>
    </row>
    <row r="356" spans="1:13" ht="15.75">
      <c r="A356" s="1610"/>
      <c r="B356" s="1639">
        <v>131</v>
      </c>
      <c r="C356" s="1640">
        <v>13</v>
      </c>
      <c r="D356" s="1640">
        <v>2131001</v>
      </c>
      <c r="E356" s="1641" t="s">
        <v>2645</v>
      </c>
      <c r="F356" s="1640" t="s">
        <v>2637</v>
      </c>
      <c r="G356" s="1642" t="s">
        <v>2638</v>
      </c>
      <c r="H356" s="1643">
        <v>6060000</v>
      </c>
      <c r="I356" s="1644" t="s">
        <v>2496</v>
      </c>
      <c r="J356" s="1645" t="s">
        <v>2388</v>
      </c>
      <c r="K356" s="1646">
        <v>27127000</v>
      </c>
      <c r="L356" s="1667">
        <v>26322004</v>
      </c>
      <c r="M356" s="1638">
        <f t="shared" si="1"/>
        <v>804996</v>
      </c>
    </row>
    <row r="357" spans="1:13" ht="15.75">
      <c r="A357" s="1610"/>
      <c r="B357" s="1639">
        <v>115</v>
      </c>
      <c r="C357" s="1640">
        <v>13</v>
      </c>
      <c r="D357" s="1640">
        <v>2115001</v>
      </c>
      <c r="E357" s="1641" t="s">
        <v>2646</v>
      </c>
      <c r="F357" s="1640" t="s">
        <v>2637</v>
      </c>
      <c r="G357" s="1642" t="s">
        <v>2638</v>
      </c>
      <c r="H357" s="1643">
        <v>6060000</v>
      </c>
      <c r="I357" s="1644" t="s">
        <v>2499</v>
      </c>
      <c r="J357" s="1645" t="s">
        <v>2388</v>
      </c>
      <c r="K357" s="1646">
        <v>24090000</v>
      </c>
      <c r="L357" s="1667">
        <v>24171518</v>
      </c>
      <c r="M357" s="1638">
        <f t="shared" si="1"/>
        <v>-81518</v>
      </c>
    </row>
    <row r="358" spans="1:13" ht="15.75">
      <c r="A358" s="1610"/>
      <c r="B358" s="1639">
        <v>116</v>
      </c>
      <c r="C358" s="1640">
        <v>13</v>
      </c>
      <c r="D358" s="1640">
        <v>2116001</v>
      </c>
      <c r="E358" s="1641" t="s">
        <v>2647</v>
      </c>
      <c r="F358" s="1640" t="s">
        <v>2637</v>
      </c>
      <c r="G358" s="1642" t="s">
        <v>2638</v>
      </c>
      <c r="H358" s="1643">
        <v>6060000</v>
      </c>
      <c r="I358" s="1644" t="s">
        <v>2499</v>
      </c>
      <c r="J358" s="1645" t="s">
        <v>2388</v>
      </c>
      <c r="K358" s="1646">
        <v>3860000</v>
      </c>
      <c r="L358" s="1667">
        <v>3966186</v>
      </c>
      <c r="M358" s="1638">
        <f t="shared" si="1"/>
        <v>-106186</v>
      </c>
    </row>
    <row r="359" spans="1:13" ht="15.75">
      <c r="A359" s="1610"/>
      <c r="B359" s="1639">
        <v>142</v>
      </c>
      <c r="C359" s="1640">
        <v>13</v>
      </c>
      <c r="D359" s="1640">
        <v>2142001</v>
      </c>
      <c r="E359" s="1641" t="s">
        <v>2648</v>
      </c>
      <c r="F359" s="1640" t="s">
        <v>2637</v>
      </c>
      <c r="G359" s="1642" t="s">
        <v>2638</v>
      </c>
      <c r="H359" s="1643">
        <v>6060000</v>
      </c>
      <c r="I359" s="1644" t="s">
        <v>2506</v>
      </c>
      <c r="J359" s="1645" t="s">
        <v>2388</v>
      </c>
      <c r="K359" s="1646">
        <v>14500000</v>
      </c>
      <c r="L359" s="1667">
        <v>14414043</v>
      </c>
      <c r="M359" s="1638">
        <f t="shared" si="1"/>
        <v>85957</v>
      </c>
    </row>
    <row r="360" spans="1:13" ht="15.75">
      <c r="A360" s="1610"/>
      <c r="B360" s="1639">
        <v>143</v>
      </c>
      <c r="C360" s="1640">
        <v>13</v>
      </c>
      <c r="D360" s="1640">
        <v>2143001</v>
      </c>
      <c r="E360" s="1641" t="s">
        <v>2510</v>
      </c>
      <c r="F360" s="1640" t="s">
        <v>2637</v>
      </c>
      <c r="G360" s="1642" t="s">
        <v>2638</v>
      </c>
      <c r="H360" s="1643">
        <v>6060000</v>
      </c>
      <c r="I360" s="1644" t="s">
        <v>2506</v>
      </c>
      <c r="J360" s="1645" t="s">
        <v>2388</v>
      </c>
      <c r="K360" s="1646">
        <v>17310000</v>
      </c>
      <c r="L360" s="1667">
        <v>17107327</v>
      </c>
      <c r="M360" s="1638">
        <f t="shared" si="1"/>
        <v>202673</v>
      </c>
    </row>
    <row r="361" spans="1:13" ht="15.75">
      <c r="A361" s="1610"/>
      <c r="B361" s="1639">
        <v>135</v>
      </c>
      <c r="C361" s="1640">
        <v>13</v>
      </c>
      <c r="D361" s="1640">
        <v>2135001</v>
      </c>
      <c r="E361" s="1641" t="s">
        <v>2649</v>
      </c>
      <c r="F361" s="1640" t="s">
        <v>2637</v>
      </c>
      <c r="G361" s="1642" t="s">
        <v>2638</v>
      </c>
      <c r="H361" s="1643">
        <v>6060000</v>
      </c>
      <c r="I361" s="1644" t="s">
        <v>2513</v>
      </c>
      <c r="J361" s="1645" t="s">
        <v>2388</v>
      </c>
      <c r="K361" s="1646">
        <v>13262000</v>
      </c>
      <c r="L361" s="1667">
        <v>13338359</v>
      </c>
      <c r="M361" s="1638">
        <f t="shared" si="1"/>
        <v>-76359</v>
      </c>
    </row>
    <row r="362" spans="1:13" ht="15.75">
      <c r="A362" s="1610"/>
      <c r="B362" s="1639">
        <v>154</v>
      </c>
      <c r="C362" s="1640">
        <v>13</v>
      </c>
      <c r="D362" s="1640">
        <v>2154001</v>
      </c>
      <c r="E362" s="1641" t="s">
        <v>2650</v>
      </c>
      <c r="F362" s="1640" t="s">
        <v>2637</v>
      </c>
      <c r="G362" s="1642" t="s">
        <v>2638</v>
      </c>
      <c r="H362" s="1643">
        <v>6060000</v>
      </c>
      <c r="I362" s="1644" t="s">
        <v>2513</v>
      </c>
      <c r="J362" s="1645" t="s">
        <v>2388</v>
      </c>
      <c r="K362" s="1646">
        <v>9696000</v>
      </c>
      <c r="L362" s="1667">
        <v>9472965</v>
      </c>
      <c r="M362" s="1638">
        <f t="shared" si="1"/>
        <v>223035</v>
      </c>
    </row>
    <row r="363" spans="1:13" ht="15.75">
      <c r="A363" s="1610"/>
      <c r="B363" s="1639">
        <v>452</v>
      </c>
      <c r="C363" s="1640">
        <v>13</v>
      </c>
      <c r="D363" s="1640">
        <v>2452001</v>
      </c>
      <c r="E363" s="1641" t="s">
        <v>2520</v>
      </c>
      <c r="F363" s="1640" t="s">
        <v>2637</v>
      </c>
      <c r="G363" s="1642" t="s">
        <v>2638</v>
      </c>
      <c r="H363" s="1643">
        <v>6060000</v>
      </c>
      <c r="I363" s="1644" t="s">
        <v>2499</v>
      </c>
      <c r="J363" s="1645" t="s">
        <v>2388</v>
      </c>
      <c r="K363" s="1646">
        <v>6090000</v>
      </c>
      <c r="L363" s="1667">
        <v>6002226</v>
      </c>
      <c r="M363" s="1638">
        <f t="shared" si="1"/>
        <v>87774</v>
      </c>
    </row>
    <row r="364" spans="1:13" ht="15.75">
      <c r="A364" s="1610"/>
      <c r="B364" s="1639">
        <v>122</v>
      </c>
      <c r="C364" s="1640">
        <v>13</v>
      </c>
      <c r="D364" s="1640">
        <v>2122001</v>
      </c>
      <c r="E364" s="1641" t="s">
        <v>2651</v>
      </c>
      <c r="F364" s="1640" t="s">
        <v>2637</v>
      </c>
      <c r="G364" s="1642" t="s">
        <v>2638</v>
      </c>
      <c r="H364" s="1643">
        <v>6060000</v>
      </c>
      <c r="I364" s="1644" t="s">
        <v>2523</v>
      </c>
      <c r="J364" s="1645" t="s">
        <v>2388</v>
      </c>
      <c r="K364" s="1646">
        <v>86970000</v>
      </c>
      <c r="L364" s="1667">
        <v>84192609</v>
      </c>
      <c r="M364" s="1638">
        <f t="shared" si="1"/>
        <v>2777391</v>
      </c>
    </row>
    <row r="365" spans="1:13" ht="15.75">
      <c r="A365" s="1610"/>
      <c r="B365" s="1639">
        <v>168</v>
      </c>
      <c r="C365" s="1640">
        <v>13</v>
      </c>
      <c r="D365" s="1640">
        <v>2168001</v>
      </c>
      <c r="E365" s="1641" t="s">
        <v>2527</v>
      </c>
      <c r="F365" s="1640" t="s">
        <v>2637</v>
      </c>
      <c r="G365" s="1642" t="s">
        <v>2638</v>
      </c>
      <c r="H365" s="1643">
        <v>6060000</v>
      </c>
      <c r="I365" s="1644" t="s">
        <v>2523</v>
      </c>
      <c r="J365" s="1645" t="s">
        <v>2388</v>
      </c>
      <c r="K365" s="1646">
        <v>39335000</v>
      </c>
      <c r="L365" s="1667">
        <v>38920494</v>
      </c>
      <c r="M365" s="1638">
        <f t="shared" si="1"/>
        <v>414506</v>
      </c>
    </row>
    <row r="366" spans="1:13" ht="15.75">
      <c r="A366" s="1610"/>
      <c r="B366" s="1639">
        <v>499</v>
      </c>
      <c r="C366" s="1640">
        <v>13</v>
      </c>
      <c r="D366" s="1640">
        <v>2499001</v>
      </c>
      <c r="E366" s="1641" t="s">
        <v>2530</v>
      </c>
      <c r="F366" s="1640" t="s">
        <v>2637</v>
      </c>
      <c r="G366" s="1642" t="s">
        <v>2638</v>
      </c>
      <c r="H366" s="1643">
        <v>6060000</v>
      </c>
      <c r="I366" s="1644" t="s">
        <v>2523</v>
      </c>
      <c r="J366" s="1645" t="s">
        <v>2388</v>
      </c>
      <c r="K366" s="1646">
        <v>1410000</v>
      </c>
      <c r="L366" s="1667">
        <v>1474268</v>
      </c>
      <c r="M366" s="1638">
        <f t="shared" si="1"/>
        <v>-64268</v>
      </c>
    </row>
    <row r="367" spans="1:13" ht="15.75">
      <c r="A367" s="1610"/>
      <c r="B367" s="1639">
        <v>120</v>
      </c>
      <c r="C367" s="1640">
        <v>13</v>
      </c>
      <c r="D367" s="1640">
        <v>2120001</v>
      </c>
      <c r="E367" s="1641" t="s">
        <v>2652</v>
      </c>
      <c r="F367" s="1640" t="s">
        <v>2637</v>
      </c>
      <c r="G367" s="1642" t="s">
        <v>2638</v>
      </c>
      <c r="H367" s="1643">
        <v>6060000</v>
      </c>
      <c r="I367" s="1644" t="s">
        <v>2533</v>
      </c>
      <c r="J367" s="1645" t="s">
        <v>2388</v>
      </c>
      <c r="K367" s="1646">
        <v>15330000</v>
      </c>
      <c r="L367" s="1667">
        <v>14640293</v>
      </c>
      <c r="M367" s="1638">
        <f t="shared" si="1"/>
        <v>689707</v>
      </c>
    </row>
    <row r="368" spans="1:13" ht="15.75">
      <c r="A368" s="1610"/>
      <c r="B368" s="1639">
        <v>105</v>
      </c>
      <c r="C368" s="1640">
        <v>13</v>
      </c>
      <c r="D368" s="1640">
        <v>2105001</v>
      </c>
      <c r="E368" s="1641" t="s">
        <v>2538</v>
      </c>
      <c r="F368" s="1640" t="s">
        <v>2637</v>
      </c>
      <c r="G368" s="1642" t="s">
        <v>2638</v>
      </c>
      <c r="H368" s="1643">
        <v>6060000</v>
      </c>
      <c r="I368" s="1644" t="s">
        <v>2537</v>
      </c>
      <c r="J368" s="1645" t="s">
        <v>2388</v>
      </c>
      <c r="K368" s="1646">
        <v>23090000</v>
      </c>
      <c r="L368" s="1667">
        <v>22627470</v>
      </c>
      <c r="M368" s="1638">
        <f t="shared" si="1"/>
        <v>462530</v>
      </c>
    </row>
    <row r="369" spans="1:13" ht="15.75">
      <c r="A369" s="1610"/>
      <c r="B369" s="1639">
        <v>136</v>
      </c>
      <c r="C369" s="1640">
        <v>13</v>
      </c>
      <c r="D369" s="1640">
        <v>2136001</v>
      </c>
      <c r="E369" s="1641" t="s">
        <v>2542</v>
      </c>
      <c r="F369" s="1640" t="s">
        <v>2637</v>
      </c>
      <c r="G369" s="1642" t="s">
        <v>2638</v>
      </c>
      <c r="H369" s="1643">
        <v>6060000</v>
      </c>
      <c r="I369" s="1644" t="s">
        <v>2541</v>
      </c>
      <c r="J369" s="1645" t="s">
        <v>2388</v>
      </c>
      <c r="K369" s="1646">
        <v>85400000</v>
      </c>
      <c r="L369" s="1667">
        <v>83142079</v>
      </c>
      <c r="M369" s="1638">
        <f t="shared" si="1"/>
        <v>2257921</v>
      </c>
    </row>
    <row r="370" spans="1:13" ht="15.75">
      <c r="A370" s="1610"/>
      <c r="B370" s="1639">
        <v>125</v>
      </c>
      <c r="C370" s="1640">
        <v>13</v>
      </c>
      <c r="D370" s="1640">
        <v>2125001</v>
      </c>
      <c r="E370" s="1641" t="s">
        <v>2653</v>
      </c>
      <c r="F370" s="1640" t="s">
        <v>2637</v>
      </c>
      <c r="G370" s="1642" t="s">
        <v>2638</v>
      </c>
      <c r="H370" s="1643">
        <v>6060000</v>
      </c>
      <c r="I370" s="1644" t="s">
        <v>2544</v>
      </c>
      <c r="J370" s="1645" t="s">
        <v>2388</v>
      </c>
      <c r="K370" s="1646">
        <v>48950000</v>
      </c>
      <c r="L370" s="1667">
        <v>48469966</v>
      </c>
      <c r="M370" s="1638">
        <f t="shared" si="1"/>
        <v>480034</v>
      </c>
    </row>
    <row r="371" spans="1:13" ht="15.75">
      <c r="A371" s="1610"/>
      <c r="B371" s="1639">
        <v>117</v>
      </c>
      <c r="C371" s="1640">
        <v>13</v>
      </c>
      <c r="D371" s="1640">
        <v>2117001</v>
      </c>
      <c r="E371" s="1641" t="s">
        <v>2549</v>
      </c>
      <c r="F371" s="1640" t="s">
        <v>2637</v>
      </c>
      <c r="G371" s="1642" t="s">
        <v>2638</v>
      </c>
      <c r="H371" s="1643">
        <v>6060000</v>
      </c>
      <c r="I371" s="1644" t="s">
        <v>2548</v>
      </c>
      <c r="J371" s="1645" t="s">
        <v>2388</v>
      </c>
      <c r="K371" s="1646">
        <v>16690000</v>
      </c>
      <c r="L371" s="1667">
        <v>16406457</v>
      </c>
      <c r="M371" s="1638">
        <f t="shared" si="1"/>
        <v>283543</v>
      </c>
    </row>
    <row r="372" spans="1:13" ht="15.75">
      <c r="A372" s="1610"/>
      <c r="B372" s="1639">
        <v>145</v>
      </c>
      <c r="C372" s="1640">
        <v>13</v>
      </c>
      <c r="D372" s="1640">
        <v>2145001</v>
      </c>
      <c r="E372" s="1641" t="s">
        <v>2654</v>
      </c>
      <c r="F372" s="1640" t="s">
        <v>2637</v>
      </c>
      <c r="G372" s="1642" t="s">
        <v>2638</v>
      </c>
      <c r="H372" s="1643">
        <v>6060000</v>
      </c>
      <c r="I372" s="1644" t="s">
        <v>2552</v>
      </c>
      <c r="J372" s="1645" t="s">
        <v>2388</v>
      </c>
      <c r="K372" s="1646">
        <v>31390000</v>
      </c>
      <c r="L372" s="1667">
        <v>31271098</v>
      </c>
      <c r="M372" s="1638">
        <f t="shared" si="1"/>
        <v>118902</v>
      </c>
    </row>
    <row r="373" spans="1:13" ht="15.75">
      <c r="A373" s="1610"/>
      <c r="B373" s="1639">
        <v>127</v>
      </c>
      <c r="C373" s="1640">
        <v>13</v>
      </c>
      <c r="D373" s="1640">
        <v>2127001</v>
      </c>
      <c r="E373" s="1641" t="s">
        <v>2655</v>
      </c>
      <c r="F373" s="1640" t="s">
        <v>2637</v>
      </c>
      <c r="G373" s="1642" t="s">
        <v>2638</v>
      </c>
      <c r="H373" s="1643">
        <v>6060000</v>
      </c>
      <c r="I373" s="1644" t="s">
        <v>2556</v>
      </c>
      <c r="J373" s="1645" t="s">
        <v>2388</v>
      </c>
      <c r="K373" s="1646">
        <v>78170000</v>
      </c>
      <c r="L373" s="1667">
        <v>79836962</v>
      </c>
      <c r="M373" s="1638">
        <f t="shared" si="1"/>
        <v>-1666962</v>
      </c>
    </row>
    <row r="374" spans="1:13" ht="15.75">
      <c r="A374" s="1610"/>
      <c r="B374" s="1639">
        <v>133</v>
      </c>
      <c r="C374" s="1640">
        <v>13</v>
      </c>
      <c r="D374" s="1640">
        <v>2133001</v>
      </c>
      <c r="E374" s="1641" t="s">
        <v>2656</v>
      </c>
      <c r="F374" s="1640" t="s">
        <v>2637</v>
      </c>
      <c r="G374" s="1642" t="s">
        <v>2638</v>
      </c>
      <c r="H374" s="1643">
        <v>6060000</v>
      </c>
      <c r="I374" s="1644" t="s">
        <v>2560</v>
      </c>
      <c r="J374" s="1645" t="s">
        <v>2388</v>
      </c>
      <c r="K374" s="1646">
        <v>31170000</v>
      </c>
      <c r="L374" s="1667">
        <v>31235452</v>
      </c>
      <c r="M374" s="1638">
        <f t="shared" si="1"/>
        <v>-65452</v>
      </c>
    </row>
    <row r="375" spans="1:13" ht="15.75">
      <c r="A375" s="1610"/>
      <c r="B375" s="1639">
        <v>126</v>
      </c>
      <c r="C375" s="1640">
        <v>13</v>
      </c>
      <c r="D375" s="1640">
        <v>2126001</v>
      </c>
      <c r="E375" s="1641" t="s">
        <v>2565</v>
      </c>
      <c r="F375" s="1640" t="s">
        <v>2637</v>
      </c>
      <c r="G375" s="1642" t="s">
        <v>2638</v>
      </c>
      <c r="H375" s="1643">
        <v>6060000</v>
      </c>
      <c r="I375" s="1644" t="s">
        <v>2564</v>
      </c>
      <c r="J375" s="1645" t="s">
        <v>2388</v>
      </c>
      <c r="K375" s="1646">
        <v>62285000</v>
      </c>
      <c r="L375" s="1667">
        <v>60514384</v>
      </c>
      <c r="M375" s="1638">
        <f t="shared" si="1"/>
        <v>1770616</v>
      </c>
    </row>
    <row r="376" spans="1:13" ht="15.75">
      <c r="A376" s="1610"/>
      <c r="B376" s="1639">
        <v>130</v>
      </c>
      <c r="C376" s="1640">
        <v>13</v>
      </c>
      <c r="D376" s="1640">
        <v>2130001</v>
      </c>
      <c r="E376" s="1641" t="s">
        <v>2657</v>
      </c>
      <c r="F376" s="1640" t="s">
        <v>2637</v>
      </c>
      <c r="G376" s="1642" t="s">
        <v>2638</v>
      </c>
      <c r="H376" s="1643">
        <v>6060000</v>
      </c>
      <c r="I376" s="1644" t="s">
        <v>2568</v>
      </c>
      <c r="J376" s="1645" t="s">
        <v>2388</v>
      </c>
      <c r="K376" s="1646">
        <v>30680000</v>
      </c>
      <c r="L376" s="1667">
        <v>30725539</v>
      </c>
      <c r="M376" s="1638">
        <f t="shared" si="1"/>
        <v>-45539</v>
      </c>
    </row>
    <row r="377" spans="1:13" ht="15.75">
      <c r="A377" s="1610"/>
      <c r="B377" s="1639">
        <v>141</v>
      </c>
      <c r="C377" s="1640">
        <v>13</v>
      </c>
      <c r="D377" s="1640">
        <v>2141001</v>
      </c>
      <c r="E377" s="1641" t="s">
        <v>2658</v>
      </c>
      <c r="F377" s="1640" t="s">
        <v>2637</v>
      </c>
      <c r="G377" s="1642" t="s">
        <v>2638</v>
      </c>
      <c r="H377" s="1643">
        <v>6060000</v>
      </c>
      <c r="I377" s="1644" t="s">
        <v>2572</v>
      </c>
      <c r="J377" s="1645" t="s">
        <v>2388</v>
      </c>
      <c r="K377" s="1646">
        <v>130645000</v>
      </c>
      <c r="L377" s="1667">
        <v>128867520</v>
      </c>
      <c r="M377" s="1638">
        <f t="shared" si="1"/>
        <v>1777480</v>
      </c>
    </row>
    <row r="378" spans="1:13" ht="15.75">
      <c r="A378" s="1610"/>
      <c r="B378" s="1639">
        <v>157</v>
      </c>
      <c r="C378" s="1640">
        <v>13</v>
      </c>
      <c r="D378" s="1640">
        <v>2157001</v>
      </c>
      <c r="E378" s="1641" t="s">
        <v>2659</v>
      </c>
      <c r="F378" s="1640" t="s">
        <v>2637</v>
      </c>
      <c r="G378" s="1642" t="s">
        <v>2638</v>
      </c>
      <c r="H378" s="1643">
        <v>6060000</v>
      </c>
      <c r="I378" s="1644" t="s">
        <v>2572</v>
      </c>
      <c r="J378" s="1645" t="s">
        <v>2388</v>
      </c>
      <c r="K378" s="1646">
        <v>31090000</v>
      </c>
      <c r="L378" s="1667">
        <v>30151096</v>
      </c>
      <c r="M378" s="1638">
        <f t="shared" si="1"/>
        <v>938904</v>
      </c>
    </row>
    <row r="379" spans="1:13" ht="15.75">
      <c r="A379" s="1610"/>
      <c r="B379" s="1639">
        <v>137</v>
      </c>
      <c r="C379" s="1640">
        <v>13</v>
      </c>
      <c r="D379" s="1640">
        <v>2137001</v>
      </c>
      <c r="E379" s="1641" t="s">
        <v>2660</v>
      </c>
      <c r="F379" s="1640" t="s">
        <v>2637</v>
      </c>
      <c r="G379" s="1642" t="s">
        <v>2638</v>
      </c>
      <c r="H379" s="1643">
        <v>6060000</v>
      </c>
      <c r="I379" s="1644" t="s">
        <v>2579</v>
      </c>
      <c r="J379" s="1645" t="s">
        <v>2388</v>
      </c>
      <c r="K379" s="1646">
        <v>12425000</v>
      </c>
      <c r="L379" s="1667">
        <v>12911616</v>
      </c>
      <c r="M379" s="1638">
        <f t="shared" si="1"/>
        <v>-486616</v>
      </c>
    </row>
    <row r="380" spans="1:13" ht="15.75">
      <c r="A380" s="1610"/>
      <c r="B380" s="1639">
        <v>155</v>
      </c>
      <c r="C380" s="1640">
        <v>13</v>
      </c>
      <c r="D380" s="1640">
        <v>2155001</v>
      </c>
      <c r="E380" s="1641" t="s">
        <v>2661</v>
      </c>
      <c r="F380" s="1640" t="s">
        <v>2637</v>
      </c>
      <c r="G380" s="1642" t="s">
        <v>2638</v>
      </c>
      <c r="H380" s="1643">
        <v>6060000</v>
      </c>
      <c r="I380" s="1644" t="s">
        <v>2579</v>
      </c>
      <c r="J380" s="1645" t="s">
        <v>2388</v>
      </c>
      <c r="K380" s="1646">
        <v>10350000</v>
      </c>
      <c r="L380" s="1667">
        <v>10180323</v>
      </c>
      <c r="M380" s="1638">
        <f t="shared" si="1"/>
        <v>169677</v>
      </c>
    </row>
    <row r="381" spans="1:13" ht="15.75">
      <c r="A381" s="1610"/>
      <c r="B381" s="1639">
        <v>101</v>
      </c>
      <c r="C381" s="1640">
        <v>13</v>
      </c>
      <c r="D381" s="1640">
        <v>2101001</v>
      </c>
      <c r="E381" s="1641" t="s">
        <v>2662</v>
      </c>
      <c r="F381" s="1640" t="s">
        <v>2637</v>
      </c>
      <c r="G381" s="1642" t="s">
        <v>2638</v>
      </c>
      <c r="H381" s="1643">
        <v>6060000</v>
      </c>
      <c r="I381" s="1644" t="s">
        <v>2372</v>
      </c>
      <c r="J381" s="1645" t="s">
        <v>2388</v>
      </c>
      <c r="K381" s="1646">
        <v>374125000</v>
      </c>
      <c r="L381" s="1667">
        <v>371908407</v>
      </c>
      <c r="M381" s="1638">
        <f t="shared" si="1"/>
        <v>2216593</v>
      </c>
    </row>
    <row r="382" spans="1:13" ht="15.75">
      <c r="A382" s="1610"/>
      <c r="B382" s="1639">
        <v>166</v>
      </c>
      <c r="C382" s="1640">
        <v>13</v>
      </c>
      <c r="D382" s="1640">
        <v>2166001</v>
      </c>
      <c r="E382" s="1641" t="s">
        <v>2589</v>
      </c>
      <c r="F382" s="1640" t="s">
        <v>2637</v>
      </c>
      <c r="G382" s="1642" t="s">
        <v>2638</v>
      </c>
      <c r="H382" s="1643">
        <v>6060000</v>
      </c>
      <c r="I382" s="1644" t="s">
        <v>2372</v>
      </c>
      <c r="J382" s="1645" t="s">
        <v>2388</v>
      </c>
      <c r="K382" s="1646">
        <v>69385000</v>
      </c>
      <c r="L382" s="1667">
        <v>69636125</v>
      </c>
      <c r="M382" s="1638">
        <f t="shared" si="1"/>
        <v>-251125</v>
      </c>
    </row>
    <row r="383" spans="1:13" ht="15.75">
      <c r="A383" s="1610"/>
      <c r="B383" s="1639">
        <v>165</v>
      </c>
      <c r="C383" s="1640">
        <v>13</v>
      </c>
      <c r="D383" s="1640">
        <v>2165001</v>
      </c>
      <c r="E383" s="1641" t="s">
        <v>2663</v>
      </c>
      <c r="F383" s="1640" t="s">
        <v>2637</v>
      </c>
      <c r="G383" s="1642" t="s">
        <v>2638</v>
      </c>
      <c r="H383" s="1643">
        <v>6060000</v>
      </c>
      <c r="I383" s="1644" t="s">
        <v>2372</v>
      </c>
      <c r="J383" s="1645" t="s">
        <v>2388</v>
      </c>
      <c r="K383" s="1646">
        <v>18396000</v>
      </c>
      <c r="L383" s="1667">
        <v>18396274</v>
      </c>
      <c r="M383" s="1638">
        <f t="shared" si="1"/>
        <v>-274</v>
      </c>
    </row>
    <row r="384" spans="1:13" ht="15.75">
      <c r="A384" s="1610"/>
      <c r="B384" s="1639">
        <v>118</v>
      </c>
      <c r="C384" s="1640">
        <v>13</v>
      </c>
      <c r="D384" s="1640">
        <v>2118001</v>
      </c>
      <c r="E384" s="1641" t="s">
        <v>2664</v>
      </c>
      <c r="F384" s="1640" t="s">
        <v>2637</v>
      </c>
      <c r="G384" s="1642" t="s">
        <v>2638</v>
      </c>
      <c r="H384" s="1643">
        <v>6060000</v>
      </c>
      <c r="I384" s="1644" t="s">
        <v>2595</v>
      </c>
      <c r="J384" s="1645" t="s">
        <v>2388</v>
      </c>
      <c r="K384" s="1646">
        <v>39911000</v>
      </c>
      <c r="L384" s="1667">
        <v>38195685</v>
      </c>
      <c r="M384" s="1638">
        <f t="shared" si="1"/>
        <v>1715315</v>
      </c>
    </row>
    <row r="385" spans="1:13" ht="15.75">
      <c r="A385" s="1610"/>
      <c r="B385" s="1639">
        <v>119</v>
      </c>
      <c r="C385" s="1640">
        <v>13</v>
      </c>
      <c r="D385" s="1640">
        <v>2119001</v>
      </c>
      <c r="E385" s="1641" t="s">
        <v>2665</v>
      </c>
      <c r="F385" s="1640" t="s">
        <v>2637</v>
      </c>
      <c r="G385" s="1642" t="s">
        <v>2638</v>
      </c>
      <c r="H385" s="1643">
        <v>6060000</v>
      </c>
      <c r="I385" s="1644" t="s">
        <v>2595</v>
      </c>
      <c r="J385" s="1645" t="s">
        <v>2388</v>
      </c>
      <c r="K385" s="1646">
        <v>17755000</v>
      </c>
      <c r="L385" s="1667">
        <v>17568213</v>
      </c>
      <c r="M385" s="1638">
        <f t="shared" si="1"/>
        <v>186787</v>
      </c>
    </row>
    <row r="386" spans="1:13" ht="15.75">
      <c r="A386" s="1610"/>
      <c r="B386" s="1639">
        <v>146</v>
      </c>
      <c r="C386" s="1640">
        <v>13</v>
      </c>
      <c r="D386" s="1640">
        <v>2146001</v>
      </c>
      <c r="E386" s="1641" t="s">
        <v>2666</v>
      </c>
      <c r="F386" s="1640" t="s">
        <v>2637</v>
      </c>
      <c r="G386" s="1642" t="s">
        <v>2638</v>
      </c>
      <c r="H386" s="1643">
        <v>6060000</v>
      </c>
      <c r="I386" s="1644" t="s">
        <v>2336</v>
      </c>
      <c r="J386" s="1645" t="s">
        <v>2388</v>
      </c>
      <c r="K386" s="1646">
        <v>100080000</v>
      </c>
      <c r="L386" s="1667">
        <v>98464073</v>
      </c>
      <c r="M386" s="1638">
        <f t="shared" si="1"/>
        <v>1615927</v>
      </c>
    </row>
    <row r="387" spans="1:13" ht="15.75">
      <c r="A387" s="1610"/>
      <c r="B387" s="1639">
        <v>159</v>
      </c>
      <c r="C387" s="1640">
        <v>13</v>
      </c>
      <c r="D387" s="1640">
        <v>2159001</v>
      </c>
      <c r="E387" s="1641" t="s">
        <v>2667</v>
      </c>
      <c r="F387" s="1640" t="s">
        <v>2637</v>
      </c>
      <c r="G387" s="1642" t="s">
        <v>2638</v>
      </c>
      <c r="H387" s="1643">
        <v>6060000</v>
      </c>
      <c r="I387" s="1644" t="s">
        <v>2336</v>
      </c>
      <c r="J387" s="1645" t="s">
        <v>2388</v>
      </c>
      <c r="K387" s="1646">
        <v>19986000</v>
      </c>
      <c r="L387" s="1667">
        <v>19054998</v>
      </c>
      <c r="M387" s="1638">
        <f t="shared" si="1"/>
        <v>931002</v>
      </c>
    </row>
    <row r="388" spans="1:13" ht="15.75">
      <c r="A388" s="1610"/>
      <c r="B388" s="1639">
        <v>160</v>
      </c>
      <c r="C388" s="1640">
        <v>13</v>
      </c>
      <c r="D388" s="1640">
        <v>2160001</v>
      </c>
      <c r="E388" s="1641" t="s">
        <v>2668</v>
      </c>
      <c r="F388" s="1640" t="s">
        <v>2637</v>
      </c>
      <c r="G388" s="1642" t="s">
        <v>2638</v>
      </c>
      <c r="H388" s="1643">
        <v>6060000</v>
      </c>
      <c r="I388" s="1644" t="s">
        <v>2336</v>
      </c>
      <c r="J388" s="1645" t="s">
        <v>2388</v>
      </c>
      <c r="K388" s="1646">
        <v>9390000</v>
      </c>
      <c r="L388" s="1667">
        <v>8465469</v>
      </c>
      <c r="M388" s="1638">
        <f t="shared" si="1"/>
        <v>924531</v>
      </c>
    </row>
    <row r="389" spans="1:13" ht="15.75">
      <c r="A389" s="1610"/>
      <c r="B389" s="1639">
        <v>138</v>
      </c>
      <c r="C389" s="1640">
        <v>13</v>
      </c>
      <c r="D389" s="1640">
        <v>2138001</v>
      </c>
      <c r="E389" s="1641" t="s">
        <v>2669</v>
      </c>
      <c r="F389" s="1640" t="s">
        <v>2637</v>
      </c>
      <c r="G389" s="1642" t="s">
        <v>2638</v>
      </c>
      <c r="H389" s="1643">
        <v>6060000</v>
      </c>
      <c r="I389" s="1644" t="s">
        <v>2611</v>
      </c>
      <c r="J389" s="1645" t="s">
        <v>2388</v>
      </c>
      <c r="K389" s="1646">
        <v>33210000</v>
      </c>
      <c r="L389" s="1667">
        <v>31325873</v>
      </c>
      <c r="M389" s="1638">
        <f t="shared" si="1"/>
        <v>1884127</v>
      </c>
    </row>
    <row r="390" spans="1:13" ht="15.75">
      <c r="A390" s="1610"/>
      <c r="B390" s="1639">
        <v>156</v>
      </c>
      <c r="C390" s="1640">
        <v>13</v>
      </c>
      <c r="D390" s="1640">
        <v>2156001</v>
      </c>
      <c r="E390" s="1641" t="s">
        <v>2615</v>
      </c>
      <c r="F390" s="1640" t="s">
        <v>2637</v>
      </c>
      <c r="G390" s="1642" t="s">
        <v>2638</v>
      </c>
      <c r="H390" s="1643">
        <v>6060000</v>
      </c>
      <c r="I390" s="1644" t="s">
        <v>2611</v>
      </c>
      <c r="J390" s="1645" t="s">
        <v>2388</v>
      </c>
      <c r="K390" s="1646">
        <v>7785000</v>
      </c>
      <c r="L390" s="1667">
        <v>7417147</v>
      </c>
      <c r="M390" s="1638">
        <f t="shared" si="1"/>
        <v>367853</v>
      </c>
    </row>
    <row r="391" spans="1:13" ht="15.75">
      <c r="A391" s="1610"/>
      <c r="B391" s="1639">
        <v>326</v>
      </c>
      <c r="C391" s="1640">
        <v>13</v>
      </c>
      <c r="D391" s="1640">
        <v>2326001</v>
      </c>
      <c r="E391" s="1641" t="s">
        <v>2619</v>
      </c>
      <c r="F391" s="1640" t="s">
        <v>2637</v>
      </c>
      <c r="G391" s="1642" t="s">
        <v>2638</v>
      </c>
      <c r="H391" s="1643">
        <v>6060000</v>
      </c>
      <c r="I391" s="1644" t="s">
        <v>2618</v>
      </c>
      <c r="J391" s="1645" t="s">
        <v>2388</v>
      </c>
      <c r="K391" s="1646">
        <v>18080000</v>
      </c>
      <c r="L391" s="1667">
        <v>16285485</v>
      </c>
      <c r="M391" s="1638">
        <f t="shared" si="1"/>
        <v>1794515</v>
      </c>
    </row>
    <row r="392" spans="1:13" ht="16.5" thickBot="1">
      <c r="A392" s="1610"/>
      <c r="B392" s="1650">
        <v>104</v>
      </c>
      <c r="C392" s="1651">
        <v>13</v>
      </c>
      <c r="D392" s="1651">
        <v>2104001</v>
      </c>
      <c r="E392" s="1652" t="s">
        <v>2670</v>
      </c>
      <c r="F392" s="1651" t="s">
        <v>2637</v>
      </c>
      <c r="G392" s="1653" t="s">
        <v>2638</v>
      </c>
      <c r="H392" s="1654">
        <v>6060000</v>
      </c>
      <c r="I392" s="1655" t="s">
        <v>2618</v>
      </c>
      <c r="J392" s="1656" t="s">
        <v>2388</v>
      </c>
      <c r="K392" s="1657">
        <v>12470000</v>
      </c>
      <c r="L392" s="1669">
        <v>11205650</v>
      </c>
      <c r="M392" s="1638">
        <f t="shared" si="1"/>
        <v>1264350</v>
      </c>
    </row>
    <row r="393" spans="1:13" ht="15.75" thickBot="1">
      <c r="A393" s="1610"/>
      <c r="B393" s="1670"/>
      <c r="C393" s="1671"/>
      <c r="D393" s="1671"/>
      <c r="E393" s="1671" t="s">
        <v>2671</v>
      </c>
      <c r="F393" s="1626"/>
      <c r="G393" s="1672"/>
      <c r="H393" s="1626"/>
      <c r="I393" s="1673"/>
      <c r="J393" s="1626"/>
      <c r="K393" s="1674">
        <f>SUM(K394:K395)</f>
        <v>3487828000</v>
      </c>
      <c r="L393" s="1610"/>
      <c r="M393" s="1610"/>
    </row>
    <row r="394" spans="1:13" ht="15">
      <c r="A394" s="1610"/>
      <c r="B394" s="1675" t="s">
        <v>2316</v>
      </c>
      <c r="C394" s="1676">
        <v>13</v>
      </c>
      <c r="D394" s="1677" t="s">
        <v>2384</v>
      </c>
      <c r="E394" s="1678" t="s">
        <v>2385</v>
      </c>
      <c r="F394" s="1679" t="s">
        <v>2637</v>
      </c>
      <c r="G394" s="1633">
        <v>10430</v>
      </c>
      <c r="H394" s="1633">
        <v>6060000</v>
      </c>
      <c r="I394" s="1635">
        <v>3535</v>
      </c>
      <c r="J394" s="1635" t="s">
        <v>2387</v>
      </c>
      <c r="K394" s="1680">
        <f>SUM(K271:K331)</f>
        <v>671160000</v>
      </c>
      <c r="L394" s="1610"/>
      <c r="M394" s="1610"/>
    </row>
    <row r="395" spans="1:13" ht="15.75" thickBot="1">
      <c r="A395" s="1610"/>
      <c r="B395" s="1681" t="s">
        <v>2316</v>
      </c>
      <c r="C395" s="1682">
        <v>13</v>
      </c>
      <c r="D395" s="1683" t="s">
        <v>2384</v>
      </c>
      <c r="E395" s="1684" t="s">
        <v>2385</v>
      </c>
      <c r="F395" s="1685" t="s">
        <v>2637</v>
      </c>
      <c r="G395" s="1654">
        <v>10430</v>
      </c>
      <c r="H395" s="1654">
        <v>6060000</v>
      </c>
      <c r="I395" s="1656">
        <v>3535</v>
      </c>
      <c r="J395" s="1656" t="s">
        <v>2388</v>
      </c>
      <c r="K395" s="1686">
        <f>SUM(K332:K392)</f>
        <v>2816668000</v>
      </c>
      <c r="L395" s="1610"/>
      <c r="M395" s="1610"/>
    </row>
    <row r="396" spans="1:13" ht="15">
      <c r="A396" s="1610"/>
      <c r="B396" s="1687"/>
      <c r="C396" s="1688"/>
      <c r="D396" s="1689"/>
      <c r="E396" s="1690"/>
      <c r="F396" s="1691"/>
      <c r="G396" s="1692"/>
      <c r="H396" s="1692"/>
      <c r="I396" s="1693"/>
      <c r="J396" s="1693"/>
      <c r="K396" s="1694"/>
      <c r="L396" s="1610"/>
      <c r="M396" s="1610"/>
    </row>
    <row r="397" spans="1:13" ht="15">
      <c r="A397" s="1610"/>
      <c r="B397" s="1610"/>
      <c r="C397" s="1610"/>
      <c r="D397" s="1610"/>
      <c r="E397" s="1610"/>
      <c r="F397" s="1610"/>
      <c r="G397" s="1610"/>
      <c r="H397" s="1610"/>
      <c r="I397" s="1610"/>
      <c r="J397" s="1695" t="s">
        <v>2672</v>
      </c>
      <c r="K397" s="1610"/>
      <c r="L397" s="1610"/>
      <c r="M397" s="1610"/>
    </row>
    <row r="398" spans="1:13" ht="15">
      <c r="A398" s="1610"/>
      <c r="B398" s="1610"/>
      <c r="C398" s="1610"/>
      <c r="D398" s="1610"/>
      <c r="E398" s="1610"/>
      <c r="F398" s="1610"/>
      <c r="G398" s="1610"/>
      <c r="H398" s="1610"/>
      <c r="I398" s="1610"/>
      <c r="J398" s="1695" t="s">
        <v>2673</v>
      </c>
      <c r="K398" s="1610"/>
      <c r="L398" s="1610"/>
      <c r="M398" s="1610"/>
    </row>
    <row r="399" spans="1:13" ht="15">
      <c r="A399" s="1610"/>
      <c r="B399" s="1610"/>
      <c r="C399" s="1610"/>
      <c r="D399" s="1610"/>
      <c r="E399" s="1610"/>
      <c r="F399" s="1610"/>
      <c r="G399" s="1610"/>
      <c r="H399" s="1610"/>
      <c r="I399" s="1610"/>
      <c r="J399" s="1695" t="s">
        <v>2674</v>
      </c>
      <c r="K399" s="1610"/>
      <c r="L399" s="1610"/>
      <c r="M399" s="1610"/>
    </row>
    <row r="400" spans="1:13" ht="15">
      <c r="A400" s="1610"/>
      <c r="B400" s="1610"/>
      <c r="C400" s="1610"/>
      <c r="D400" s="1610"/>
      <c r="E400" s="1610"/>
      <c r="F400" s="1610"/>
      <c r="G400" s="1610"/>
      <c r="H400" s="1610"/>
      <c r="I400" s="1610"/>
      <c r="J400" s="1695" t="s">
        <v>2675</v>
      </c>
      <c r="K400" s="1610"/>
      <c r="L400" s="1610"/>
      <c r="M400" s="1610"/>
    </row>
    <row r="401" spans="1:13" ht="15">
      <c r="A401" s="1610"/>
      <c r="B401" s="1610"/>
      <c r="C401" s="1610"/>
      <c r="D401" s="1610"/>
      <c r="E401" s="1610"/>
      <c r="F401" s="1610"/>
      <c r="G401" s="1610"/>
      <c r="H401" s="1610"/>
      <c r="I401" s="1610"/>
      <c r="J401" s="1695" t="s">
        <v>2676</v>
      </c>
      <c r="K401" s="1610"/>
      <c r="L401" s="1610"/>
      <c r="M401" s="1610"/>
    </row>
    <row r="402" spans="1:13" ht="15.75" thickBot="1">
      <c r="A402" s="1610"/>
      <c r="B402" s="1696" t="s">
        <v>2677</v>
      </c>
      <c r="C402" s="1689"/>
      <c r="D402" s="1691"/>
      <c r="E402" s="1691"/>
      <c r="F402" s="1692"/>
      <c r="G402" s="1692"/>
      <c r="H402" s="1697"/>
      <c r="I402" s="1693"/>
      <c r="J402" s="1693"/>
      <c r="K402" s="1693"/>
      <c r="L402" s="1610"/>
      <c r="M402" s="1610"/>
    </row>
    <row r="403" spans="1:13" ht="45.75" thickBot="1">
      <c r="A403" s="1698" t="s">
        <v>2678</v>
      </c>
      <c r="B403" s="1620" t="s">
        <v>2627</v>
      </c>
      <c r="C403" s="1620" t="s">
        <v>2628</v>
      </c>
      <c r="D403" s="1620" t="s">
        <v>2629</v>
      </c>
      <c r="E403" s="1621" t="s">
        <v>2630</v>
      </c>
      <c r="F403" s="1622" t="s">
        <v>2306</v>
      </c>
      <c r="G403" s="1620" t="s">
        <v>2631</v>
      </c>
      <c r="H403" s="1620" t="s">
        <v>2632</v>
      </c>
      <c r="I403" s="1620" t="s">
        <v>2633</v>
      </c>
      <c r="J403" s="1620" t="s">
        <v>2634</v>
      </c>
      <c r="K403" s="1623" t="s">
        <v>2635</v>
      </c>
      <c r="L403" s="1610"/>
      <c r="M403" s="1610"/>
    </row>
    <row r="404" spans="1:13" ht="15.75" thickBot="1">
      <c r="A404" s="1699"/>
      <c r="B404" s="1625"/>
      <c r="C404" s="1625"/>
      <c r="D404" s="1625"/>
      <c r="E404" s="1625" t="s">
        <v>2636</v>
      </c>
      <c r="F404" s="1626"/>
      <c r="G404" s="1625"/>
      <c r="H404" s="1625"/>
      <c r="I404" s="1625"/>
      <c r="J404" s="1625"/>
      <c r="K404" s="1627">
        <f>SUM(K405:K465)</f>
        <v>3487828000</v>
      </c>
      <c r="L404" s="1610"/>
      <c r="M404" s="1610"/>
    </row>
    <row r="405" spans="1:13" ht="15">
      <c r="A405" s="1700" t="s">
        <v>2679</v>
      </c>
      <c r="B405" s="1634" t="s">
        <v>2417</v>
      </c>
      <c r="C405" s="1634">
        <v>13</v>
      </c>
      <c r="D405" s="1634" t="s">
        <v>2418</v>
      </c>
      <c r="E405" s="1631" t="s">
        <v>2419</v>
      </c>
      <c r="F405" s="1701" t="s">
        <v>2680</v>
      </c>
      <c r="G405" s="1701"/>
      <c r="H405" s="1702">
        <v>6029999</v>
      </c>
      <c r="I405" s="1634" t="s">
        <v>2361</v>
      </c>
      <c r="J405" s="1703"/>
      <c r="K405" s="1636">
        <v>65480000</v>
      </c>
      <c r="L405" s="1610"/>
      <c r="M405" s="1610"/>
    </row>
    <row r="406" spans="1:13" ht="15">
      <c r="A406" s="1704" t="s">
        <v>2679</v>
      </c>
      <c r="B406" s="1644" t="s">
        <v>2417</v>
      </c>
      <c r="C406" s="1644">
        <v>13</v>
      </c>
      <c r="D406" s="1644" t="s">
        <v>2418</v>
      </c>
      <c r="E406" s="1641" t="s">
        <v>2422</v>
      </c>
      <c r="F406" s="1705" t="s">
        <v>2680</v>
      </c>
      <c r="G406" s="1705"/>
      <c r="H406" s="1706">
        <v>6029999</v>
      </c>
      <c r="I406" s="1644" t="s">
        <v>2361</v>
      </c>
      <c r="J406" s="1707"/>
      <c r="K406" s="1646">
        <v>25885000</v>
      </c>
      <c r="L406" s="1610"/>
      <c r="M406" s="1610"/>
    </row>
    <row r="407" spans="1:13" ht="15">
      <c r="A407" s="1704" t="s">
        <v>2679</v>
      </c>
      <c r="B407" s="1644" t="s">
        <v>2417</v>
      </c>
      <c r="C407" s="1644">
        <v>13</v>
      </c>
      <c r="D407" s="1644" t="s">
        <v>2418</v>
      </c>
      <c r="E407" s="1641" t="s">
        <v>2426</v>
      </c>
      <c r="F407" s="1705" t="s">
        <v>2680</v>
      </c>
      <c r="G407" s="1705"/>
      <c r="H407" s="1706">
        <v>6029999</v>
      </c>
      <c r="I407" s="1644" t="s">
        <v>2425</v>
      </c>
      <c r="J407" s="1707"/>
      <c r="K407" s="1646">
        <v>35504000</v>
      </c>
      <c r="L407" s="1610"/>
      <c r="M407" s="1610"/>
    </row>
    <row r="408" spans="1:13" ht="15">
      <c r="A408" s="1704" t="s">
        <v>2679</v>
      </c>
      <c r="B408" s="1644" t="s">
        <v>2417</v>
      </c>
      <c r="C408" s="1644">
        <v>13</v>
      </c>
      <c r="D408" s="1644" t="s">
        <v>2418</v>
      </c>
      <c r="E408" s="1641" t="s">
        <v>2429</v>
      </c>
      <c r="F408" s="1705" t="s">
        <v>2680</v>
      </c>
      <c r="G408" s="1705"/>
      <c r="H408" s="1706">
        <v>6029999</v>
      </c>
      <c r="I408" s="1644" t="s">
        <v>2333</v>
      </c>
      <c r="J408" s="1707"/>
      <c r="K408" s="1646">
        <v>19804000</v>
      </c>
      <c r="L408" s="1610"/>
      <c r="M408" s="1610"/>
    </row>
    <row r="409" spans="1:13" ht="15">
      <c r="A409" s="1704" t="s">
        <v>2679</v>
      </c>
      <c r="B409" s="1644" t="s">
        <v>2417</v>
      </c>
      <c r="C409" s="1644">
        <v>13</v>
      </c>
      <c r="D409" s="1644" t="s">
        <v>2418</v>
      </c>
      <c r="E409" s="1641" t="s">
        <v>2431</v>
      </c>
      <c r="F409" s="1705" t="s">
        <v>2680</v>
      </c>
      <c r="G409" s="1705"/>
      <c r="H409" s="1706">
        <v>6029999</v>
      </c>
      <c r="I409" s="1644" t="s">
        <v>2333</v>
      </c>
      <c r="J409" s="1707"/>
      <c r="K409" s="1646">
        <v>16643000</v>
      </c>
      <c r="L409" s="1610"/>
      <c r="M409" s="1610"/>
    </row>
    <row r="410" spans="1:13" ht="15">
      <c r="A410" s="1704" t="s">
        <v>2679</v>
      </c>
      <c r="B410" s="1644" t="s">
        <v>2417</v>
      </c>
      <c r="C410" s="1644">
        <v>13</v>
      </c>
      <c r="D410" s="1644" t="s">
        <v>2418</v>
      </c>
      <c r="E410" s="1641" t="s">
        <v>2432</v>
      </c>
      <c r="F410" s="1705" t="s">
        <v>2680</v>
      </c>
      <c r="G410" s="1705"/>
      <c r="H410" s="1706">
        <v>6029999</v>
      </c>
      <c r="I410" s="1644" t="s">
        <v>2392</v>
      </c>
      <c r="J410" s="1707"/>
      <c r="K410" s="1646">
        <v>127900000</v>
      </c>
      <c r="L410" s="1610"/>
      <c r="M410" s="1610"/>
    </row>
    <row r="411" spans="1:13" ht="15">
      <c r="A411" s="1704" t="s">
        <v>2679</v>
      </c>
      <c r="B411" s="1644" t="s">
        <v>2417</v>
      </c>
      <c r="C411" s="1644">
        <v>13</v>
      </c>
      <c r="D411" s="1644" t="s">
        <v>2418</v>
      </c>
      <c r="E411" s="1641" t="s">
        <v>2436</v>
      </c>
      <c r="F411" s="1705" t="s">
        <v>2680</v>
      </c>
      <c r="G411" s="1705"/>
      <c r="H411" s="1706">
        <v>6029999</v>
      </c>
      <c r="I411" s="1644" t="s">
        <v>2435</v>
      </c>
      <c r="J411" s="1707"/>
      <c r="K411" s="1646">
        <v>46320000</v>
      </c>
      <c r="L411" s="1610"/>
      <c r="M411" s="1610"/>
    </row>
    <row r="412" spans="1:13" ht="15">
      <c r="A412" s="1704" t="s">
        <v>2679</v>
      </c>
      <c r="B412" s="1644" t="s">
        <v>2417</v>
      </c>
      <c r="C412" s="1644">
        <v>13</v>
      </c>
      <c r="D412" s="1644" t="s">
        <v>2418</v>
      </c>
      <c r="E412" s="1641" t="s">
        <v>2440</v>
      </c>
      <c r="F412" s="1705" t="s">
        <v>2680</v>
      </c>
      <c r="G412" s="1705"/>
      <c r="H412" s="1706">
        <v>6029999</v>
      </c>
      <c r="I412" s="1644" t="s">
        <v>2639</v>
      </c>
      <c r="J412" s="1707"/>
      <c r="K412" s="1646">
        <v>47973000</v>
      </c>
      <c r="L412" s="1610"/>
      <c r="M412" s="1610"/>
    </row>
    <row r="413" spans="1:13" ht="15">
      <c r="A413" s="1704" t="s">
        <v>2679</v>
      </c>
      <c r="B413" s="1644" t="s">
        <v>2417</v>
      </c>
      <c r="C413" s="1644">
        <v>13</v>
      </c>
      <c r="D413" s="1644" t="s">
        <v>2418</v>
      </c>
      <c r="E413" s="1641" t="s">
        <v>2443</v>
      </c>
      <c r="F413" s="1705" t="s">
        <v>2680</v>
      </c>
      <c r="G413" s="1705"/>
      <c r="H413" s="1706">
        <v>6029999</v>
      </c>
      <c r="I413" s="1644" t="s">
        <v>2639</v>
      </c>
      <c r="J413" s="1707"/>
      <c r="K413" s="1646">
        <v>36485000</v>
      </c>
      <c r="L413" s="1610"/>
      <c r="M413" s="1610"/>
    </row>
    <row r="414" spans="1:13" ht="15">
      <c r="A414" s="1704" t="s">
        <v>2679</v>
      </c>
      <c r="B414" s="1644" t="s">
        <v>2417</v>
      </c>
      <c r="C414" s="1644">
        <v>13</v>
      </c>
      <c r="D414" s="1644" t="s">
        <v>2418</v>
      </c>
      <c r="E414" s="1641" t="s">
        <v>2640</v>
      </c>
      <c r="F414" s="1705" t="s">
        <v>2680</v>
      </c>
      <c r="G414" s="1705"/>
      <c r="H414" s="1706">
        <v>6029999</v>
      </c>
      <c r="I414" s="1644" t="s">
        <v>2349</v>
      </c>
      <c r="J414" s="1707"/>
      <c r="K414" s="1646">
        <v>165650000</v>
      </c>
      <c r="L414" s="1610"/>
      <c r="M414" s="1610"/>
    </row>
    <row r="415" spans="1:13" ht="15">
      <c r="A415" s="1704" t="s">
        <v>2679</v>
      </c>
      <c r="B415" s="1644" t="s">
        <v>2417</v>
      </c>
      <c r="C415" s="1644">
        <v>13</v>
      </c>
      <c r="D415" s="1644" t="s">
        <v>2418</v>
      </c>
      <c r="E415" s="1641" t="s">
        <v>2449</v>
      </c>
      <c r="F415" s="1705" t="s">
        <v>2680</v>
      </c>
      <c r="G415" s="1705"/>
      <c r="H415" s="1706">
        <v>6029999</v>
      </c>
      <c r="I415" s="1644" t="s">
        <v>2349</v>
      </c>
      <c r="J415" s="1707"/>
      <c r="K415" s="1646">
        <v>28485000</v>
      </c>
      <c r="L415" s="1610"/>
      <c r="M415" s="1610"/>
    </row>
    <row r="416" spans="1:13" ht="15">
      <c r="A416" s="1704" t="s">
        <v>2679</v>
      </c>
      <c r="B416" s="1644" t="s">
        <v>2417</v>
      </c>
      <c r="C416" s="1644">
        <v>13</v>
      </c>
      <c r="D416" s="1644" t="s">
        <v>2418</v>
      </c>
      <c r="E416" s="1641" t="s">
        <v>2641</v>
      </c>
      <c r="F416" s="1705" t="s">
        <v>2680</v>
      </c>
      <c r="G416" s="1705"/>
      <c r="H416" s="1706">
        <v>6029999</v>
      </c>
      <c r="I416" s="1644" t="s">
        <v>2452</v>
      </c>
      <c r="J416" s="1707"/>
      <c r="K416" s="1646">
        <v>61060000</v>
      </c>
      <c r="L416" s="1610"/>
      <c r="M416" s="1610"/>
    </row>
    <row r="417" spans="1:13" ht="15">
      <c r="A417" s="1704" t="s">
        <v>2679</v>
      </c>
      <c r="B417" s="1644" t="s">
        <v>2420</v>
      </c>
      <c r="C417" s="1644">
        <v>13</v>
      </c>
      <c r="D417" s="1644" t="s">
        <v>2421</v>
      </c>
      <c r="E417" s="1641" t="s">
        <v>2456</v>
      </c>
      <c r="F417" s="1705" t="s">
        <v>2680</v>
      </c>
      <c r="G417" s="1705"/>
      <c r="H417" s="1706">
        <v>6029999</v>
      </c>
      <c r="I417" s="1644" t="s">
        <v>2397</v>
      </c>
      <c r="J417" s="1707"/>
      <c r="K417" s="1646">
        <v>269000000</v>
      </c>
      <c r="L417" s="1610"/>
      <c r="M417" s="1610"/>
    </row>
    <row r="418" spans="1:13" ht="15">
      <c r="A418" s="1704" t="s">
        <v>2679</v>
      </c>
      <c r="B418" s="1644" t="s">
        <v>2420</v>
      </c>
      <c r="C418" s="1644">
        <v>13</v>
      </c>
      <c r="D418" s="1644" t="s">
        <v>2421</v>
      </c>
      <c r="E418" s="1641" t="s">
        <v>2642</v>
      </c>
      <c r="F418" s="1705" t="s">
        <v>2680</v>
      </c>
      <c r="G418" s="1705"/>
      <c r="H418" s="1706">
        <v>6029999</v>
      </c>
      <c r="I418" s="1644" t="s">
        <v>2397</v>
      </c>
      <c r="J418" s="1707"/>
      <c r="K418" s="1646">
        <v>44905000</v>
      </c>
      <c r="L418" s="1610"/>
      <c r="M418" s="1610"/>
    </row>
    <row r="419" spans="1:13" ht="15">
      <c r="A419" s="1704" t="s">
        <v>2679</v>
      </c>
      <c r="B419" s="1644" t="s">
        <v>2420</v>
      </c>
      <c r="C419" s="1644">
        <v>13</v>
      </c>
      <c r="D419" s="1644" t="s">
        <v>2421</v>
      </c>
      <c r="E419" s="1641" t="s">
        <v>2462</v>
      </c>
      <c r="F419" s="1705" t="s">
        <v>2680</v>
      </c>
      <c r="G419" s="1705"/>
      <c r="H419" s="1706">
        <v>6029999</v>
      </c>
      <c r="I419" s="1644" t="s">
        <v>2397</v>
      </c>
      <c r="J419" s="1707"/>
      <c r="K419" s="1646">
        <v>35160000</v>
      </c>
      <c r="L419" s="1610"/>
      <c r="M419" s="1610"/>
    </row>
    <row r="420" spans="1:13" ht="15">
      <c r="A420" s="1704" t="s">
        <v>2679</v>
      </c>
      <c r="B420" s="1644" t="s">
        <v>2420</v>
      </c>
      <c r="C420" s="1644">
        <v>13</v>
      </c>
      <c r="D420" s="1644" t="s">
        <v>2421</v>
      </c>
      <c r="E420" s="1641" t="s">
        <v>2466</v>
      </c>
      <c r="F420" s="1705" t="s">
        <v>2680</v>
      </c>
      <c r="G420" s="1705"/>
      <c r="H420" s="1706">
        <v>6029999</v>
      </c>
      <c r="I420" s="1644" t="s">
        <v>2465</v>
      </c>
      <c r="J420" s="1707"/>
      <c r="K420" s="1646">
        <v>45095000</v>
      </c>
      <c r="L420" s="1610"/>
      <c r="M420" s="1610"/>
    </row>
    <row r="421" spans="1:13" ht="15">
      <c r="A421" s="1704" t="s">
        <v>2679</v>
      </c>
      <c r="B421" s="1644" t="s">
        <v>2420</v>
      </c>
      <c r="C421" s="1644">
        <v>13</v>
      </c>
      <c r="D421" s="1644" t="s">
        <v>2421</v>
      </c>
      <c r="E421" s="1641" t="s">
        <v>2470</v>
      </c>
      <c r="F421" s="1705" t="s">
        <v>2680</v>
      </c>
      <c r="G421" s="1705"/>
      <c r="H421" s="1706">
        <v>6029999</v>
      </c>
      <c r="I421" s="1644" t="s">
        <v>2469</v>
      </c>
      <c r="J421" s="1707"/>
      <c r="K421" s="1646">
        <v>69372000</v>
      </c>
      <c r="L421" s="1610"/>
      <c r="M421" s="1610"/>
    </row>
    <row r="422" spans="1:13" ht="15">
      <c r="A422" s="1704" t="s">
        <v>2679</v>
      </c>
      <c r="B422" s="1644" t="s">
        <v>2420</v>
      </c>
      <c r="C422" s="1644">
        <v>13</v>
      </c>
      <c r="D422" s="1644" t="s">
        <v>2421</v>
      </c>
      <c r="E422" s="1641" t="s">
        <v>2474</v>
      </c>
      <c r="F422" s="1705" t="s">
        <v>2680</v>
      </c>
      <c r="G422" s="1705"/>
      <c r="H422" s="1706">
        <v>6029999</v>
      </c>
      <c r="I422" s="1644" t="s">
        <v>2473</v>
      </c>
      <c r="J422" s="1707"/>
      <c r="K422" s="1646">
        <v>81615000</v>
      </c>
      <c r="L422" s="1610"/>
      <c r="M422" s="1610"/>
    </row>
    <row r="423" spans="1:13" ht="15">
      <c r="A423" s="1704" t="s">
        <v>2679</v>
      </c>
      <c r="B423" s="1644" t="s">
        <v>2420</v>
      </c>
      <c r="C423" s="1644">
        <v>13</v>
      </c>
      <c r="D423" s="1644" t="s">
        <v>2421</v>
      </c>
      <c r="E423" s="1641" t="s">
        <v>2477</v>
      </c>
      <c r="F423" s="1705" t="s">
        <v>2680</v>
      </c>
      <c r="G423" s="1705"/>
      <c r="H423" s="1706">
        <v>6029999</v>
      </c>
      <c r="I423" s="1644" t="s">
        <v>2473</v>
      </c>
      <c r="J423" s="1707"/>
      <c r="K423" s="1646">
        <v>64195000</v>
      </c>
      <c r="L423" s="1610"/>
      <c r="M423" s="1610"/>
    </row>
    <row r="424" spans="1:13" ht="15">
      <c r="A424" s="1704" t="s">
        <v>2679</v>
      </c>
      <c r="B424" s="1644" t="s">
        <v>2420</v>
      </c>
      <c r="C424" s="1644">
        <v>13</v>
      </c>
      <c r="D424" s="1644" t="s">
        <v>2421</v>
      </c>
      <c r="E424" s="1641" t="s">
        <v>2480</v>
      </c>
      <c r="F424" s="1705" t="s">
        <v>2680</v>
      </c>
      <c r="G424" s="1705"/>
      <c r="H424" s="1706">
        <v>6029999</v>
      </c>
      <c r="I424" s="1644" t="s">
        <v>2325</v>
      </c>
      <c r="J424" s="1707"/>
      <c r="K424" s="1646">
        <v>122435000</v>
      </c>
      <c r="L424" s="1610"/>
      <c r="M424" s="1610"/>
    </row>
    <row r="425" spans="1:13" ht="15">
      <c r="A425" s="1704" t="s">
        <v>2679</v>
      </c>
      <c r="B425" s="1644" t="s">
        <v>2420</v>
      </c>
      <c r="C425" s="1644">
        <v>13</v>
      </c>
      <c r="D425" s="1644" t="s">
        <v>2421</v>
      </c>
      <c r="E425" s="1641" t="s">
        <v>2483</v>
      </c>
      <c r="F425" s="1705" t="s">
        <v>2680</v>
      </c>
      <c r="G425" s="1705"/>
      <c r="H425" s="1706">
        <v>6029999</v>
      </c>
      <c r="I425" s="1644" t="s">
        <v>2325</v>
      </c>
      <c r="J425" s="1707"/>
      <c r="K425" s="1646">
        <v>29635000</v>
      </c>
      <c r="L425" s="1610"/>
      <c r="M425" s="1610"/>
    </row>
    <row r="426" spans="1:13" ht="15">
      <c r="A426" s="1704" t="s">
        <v>2679</v>
      </c>
      <c r="B426" s="1644" t="s">
        <v>2420</v>
      </c>
      <c r="C426" s="1644">
        <v>13</v>
      </c>
      <c r="D426" s="1644" t="s">
        <v>2421</v>
      </c>
      <c r="E426" s="1641" t="s">
        <v>2486</v>
      </c>
      <c r="F426" s="1705" t="s">
        <v>2680</v>
      </c>
      <c r="G426" s="1705"/>
      <c r="H426" s="1706">
        <v>6029999</v>
      </c>
      <c r="I426" s="1644" t="s">
        <v>2325</v>
      </c>
      <c r="J426" s="1707"/>
      <c r="K426" s="1646">
        <v>23910000</v>
      </c>
      <c r="L426" s="1610"/>
      <c r="M426" s="1610"/>
    </row>
    <row r="427" spans="1:13" ht="15">
      <c r="A427" s="1704" t="s">
        <v>2679</v>
      </c>
      <c r="B427" s="1644" t="s">
        <v>2420</v>
      </c>
      <c r="C427" s="1644">
        <v>13</v>
      </c>
      <c r="D427" s="1644" t="s">
        <v>2421</v>
      </c>
      <c r="E427" s="1641" t="s">
        <v>2643</v>
      </c>
      <c r="F427" s="1705" t="s">
        <v>2680</v>
      </c>
      <c r="G427" s="1705"/>
      <c r="H427" s="1706">
        <v>6029999</v>
      </c>
      <c r="I427" s="1644" t="s">
        <v>2489</v>
      </c>
      <c r="J427" s="1707"/>
      <c r="K427" s="1646">
        <v>89052000</v>
      </c>
      <c r="L427" s="1610"/>
      <c r="M427" s="1610"/>
    </row>
    <row r="428" spans="1:13" ht="15">
      <c r="A428" s="1704" t="s">
        <v>2679</v>
      </c>
      <c r="B428" s="1644" t="s">
        <v>2420</v>
      </c>
      <c r="C428" s="1644">
        <v>13</v>
      </c>
      <c r="D428" s="1644" t="s">
        <v>2421</v>
      </c>
      <c r="E428" s="1641" t="s">
        <v>2644</v>
      </c>
      <c r="F428" s="1705" t="s">
        <v>2680</v>
      </c>
      <c r="G428" s="1705"/>
      <c r="H428" s="1706">
        <v>6029999</v>
      </c>
      <c r="I428" s="1644" t="s">
        <v>2489</v>
      </c>
      <c r="J428" s="1707"/>
      <c r="K428" s="1646">
        <v>32387000</v>
      </c>
      <c r="L428" s="1610"/>
      <c r="M428" s="1610"/>
    </row>
    <row r="429" spans="1:13" ht="15">
      <c r="A429" s="1704" t="s">
        <v>2679</v>
      </c>
      <c r="B429" s="1644" t="s">
        <v>2423</v>
      </c>
      <c r="C429" s="1644">
        <v>13</v>
      </c>
      <c r="D429" s="1644" t="s">
        <v>2424</v>
      </c>
      <c r="E429" s="1641" t="s">
        <v>2645</v>
      </c>
      <c r="F429" s="1705" t="s">
        <v>2680</v>
      </c>
      <c r="G429" s="1705"/>
      <c r="H429" s="1706">
        <v>6029999</v>
      </c>
      <c r="I429" s="1644" t="s">
        <v>2496</v>
      </c>
      <c r="J429" s="1707"/>
      <c r="K429" s="1646">
        <v>34757000</v>
      </c>
      <c r="L429" s="1610"/>
      <c r="M429" s="1610"/>
    </row>
    <row r="430" spans="1:13" ht="15">
      <c r="A430" s="1704" t="s">
        <v>2679</v>
      </c>
      <c r="B430" s="1644" t="s">
        <v>2423</v>
      </c>
      <c r="C430" s="1644">
        <v>13</v>
      </c>
      <c r="D430" s="1644" t="s">
        <v>2424</v>
      </c>
      <c r="E430" s="1641" t="s">
        <v>2646</v>
      </c>
      <c r="F430" s="1705" t="s">
        <v>2680</v>
      </c>
      <c r="G430" s="1705"/>
      <c r="H430" s="1706">
        <v>6029999</v>
      </c>
      <c r="I430" s="1644" t="s">
        <v>2499</v>
      </c>
      <c r="J430" s="1707"/>
      <c r="K430" s="1646">
        <v>24700000</v>
      </c>
      <c r="L430" s="1610"/>
      <c r="M430" s="1610"/>
    </row>
    <row r="431" spans="1:13" ht="15">
      <c r="A431" s="1704" t="s">
        <v>2679</v>
      </c>
      <c r="B431" s="1644" t="s">
        <v>2423</v>
      </c>
      <c r="C431" s="1644">
        <v>13</v>
      </c>
      <c r="D431" s="1644" t="s">
        <v>2424</v>
      </c>
      <c r="E431" s="1641" t="s">
        <v>2647</v>
      </c>
      <c r="F431" s="1705" t="s">
        <v>2680</v>
      </c>
      <c r="G431" s="1705"/>
      <c r="H431" s="1706">
        <v>6029999</v>
      </c>
      <c r="I431" s="1644" t="s">
        <v>2499</v>
      </c>
      <c r="J431" s="1707"/>
      <c r="K431" s="1646">
        <v>3990000</v>
      </c>
      <c r="L431" s="1610"/>
      <c r="M431" s="1610"/>
    </row>
    <row r="432" spans="1:13" ht="15">
      <c r="A432" s="1704" t="s">
        <v>2679</v>
      </c>
      <c r="B432" s="1644" t="s">
        <v>2423</v>
      </c>
      <c r="C432" s="1644">
        <v>13</v>
      </c>
      <c r="D432" s="1644" t="s">
        <v>2424</v>
      </c>
      <c r="E432" s="1641" t="s">
        <v>2648</v>
      </c>
      <c r="F432" s="1705" t="s">
        <v>2680</v>
      </c>
      <c r="G432" s="1705"/>
      <c r="H432" s="1706">
        <v>6029999</v>
      </c>
      <c r="I432" s="1644" t="s">
        <v>2506</v>
      </c>
      <c r="J432" s="1707"/>
      <c r="K432" s="1646">
        <v>16760000</v>
      </c>
      <c r="L432" s="1610"/>
      <c r="M432" s="1610"/>
    </row>
    <row r="433" spans="1:13" ht="15">
      <c r="A433" s="1704" t="s">
        <v>2679</v>
      </c>
      <c r="B433" s="1644" t="s">
        <v>2423</v>
      </c>
      <c r="C433" s="1644">
        <v>13</v>
      </c>
      <c r="D433" s="1644" t="s">
        <v>2424</v>
      </c>
      <c r="E433" s="1641" t="s">
        <v>2510</v>
      </c>
      <c r="F433" s="1705" t="s">
        <v>2680</v>
      </c>
      <c r="G433" s="1705"/>
      <c r="H433" s="1706">
        <v>6029999</v>
      </c>
      <c r="I433" s="1644" t="s">
        <v>2506</v>
      </c>
      <c r="J433" s="1707"/>
      <c r="K433" s="1646">
        <v>20640000</v>
      </c>
      <c r="L433" s="1610"/>
      <c r="M433" s="1610"/>
    </row>
    <row r="434" spans="1:13" ht="15">
      <c r="A434" s="1704" t="s">
        <v>2679</v>
      </c>
      <c r="B434" s="1644" t="s">
        <v>2423</v>
      </c>
      <c r="C434" s="1644">
        <v>13</v>
      </c>
      <c r="D434" s="1644" t="s">
        <v>2424</v>
      </c>
      <c r="E434" s="1641" t="s">
        <v>2649</v>
      </c>
      <c r="F434" s="1705" t="s">
        <v>2680</v>
      </c>
      <c r="G434" s="1705"/>
      <c r="H434" s="1706">
        <v>6029999</v>
      </c>
      <c r="I434" s="1644" t="s">
        <v>2513</v>
      </c>
      <c r="J434" s="1707"/>
      <c r="K434" s="1646">
        <v>14132000</v>
      </c>
      <c r="L434" s="1610"/>
      <c r="M434" s="1610"/>
    </row>
    <row r="435" spans="1:13" ht="15">
      <c r="A435" s="1704" t="s">
        <v>2679</v>
      </c>
      <c r="B435" s="1644" t="s">
        <v>2423</v>
      </c>
      <c r="C435" s="1644">
        <v>13</v>
      </c>
      <c r="D435" s="1644" t="s">
        <v>2424</v>
      </c>
      <c r="E435" s="1641" t="s">
        <v>2650</v>
      </c>
      <c r="F435" s="1705" t="s">
        <v>2680</v>
      </c>
      <c r="G435" s="1705"/>
      <c r="H435" s="1706">
        <v>6029999</v>
      </c>
      <c r="I435" s="1644" t="s">
        <v>2513</v>
      </c>
      <c r="J435" s="1707"/>
      <c r="K435" s="1646">
        <v>11321000</v>
      </c>
      <c r="L435" s="1610"/>
      <c r="M435" s="1610"/>
    </row>
    <row r="436" spans="1:13" ht="15">
      <c r="A436" s="1704" t="s">
        <v>2679</v>
      </c>
      <c r="B436" s="1644" t="s">
        <v>2423</v>
      </c>
      <c r="C436" s="1644">
        <v>13</v>
      </c>
      <c r="D436" s="1644" t="s">
        <v>2424</v>
      </c>
      <c r="E436" s="1641" t="s">
        <v>2520</v>
      </c>
      <c r="F436" s="1705" t="s">
        <v>2680</v>
      </c>
      <c r="G436" s="1705"/>
      <c r="H436" s="1706">
        <v>6029999</v>
      </c>
      <c r="I436" s="1644" t="s">
        <v>2499</v>
      </c>
      <c r="J436" s="1707"/>
      <c r="K436" s="1646">
        <v>6470000</v>
      </c>
      <c r="L436" s="1610"/>
      <c r="M436" s="1610"/>
    </row>
    <row r="437" spans="1:13" ht="15">
      <c r="A437" s="1704" t="s">
        <v>2679</v>
      </c>
      <c r="B437" s="1644" t="s">
        <v>2423</v>
      </c>
      <c r="C437" s="1644">
        <v>13</v>
      </c>
      <c r="D437" s="1644" t="s">
        <v>2424</v>
      </c>
      <c r="E437" s="1641" t="s">
        <v>2651</v>
      </c>
      <c r="F437" s="1705" t="s">
        <v>2680</v>
      </c>
      <c r="G437" s="1705"/>
      <c r="H437" s="1706">
        <v>6029999</v>
      </c>
      <c r="I437" s="1644" t="s">
        <v>2523</v>
      </c>
      <c r="J437" s="1707"/>
      <c r="K437" s="1646">
        <v>91890000</v>
      </c>
      <c r="L437" s="1610"/>
      <c r="M437" s="1610"/>
    </row>
    <row r="438" spans="1:13" ht="15">
      <c r="A438" s="1704" t="s">
        <v>2679</v>
      </c>
      <c r="B438" s="1644" t="s">
        <v>2423</v>
      </c>
      <c r="C438" s="1644">
        <v>13</v>
      </c>
      <c r="D438" s="1644" t="s">
        <v>2424</v>
      </c>
      <c r="E438" s="1641" t="s">
        <v>2527</v>
      </c>
      <c r="F438" s="1705" t="s">
        <v>2680</v>
      </c>
      <c r="G438" s="1705"/>
      <c r="H438" s="1706">
        <v>6029999</v>
      </c>
      <c r="I438" s="1644" t="s">
        <v>2523</v>
      </c>
      <c r="J438" s="1707"/>
      <c r="K438" s="1646">
        <v>60945000</v>
      </c>
      <c r="L438" s="1610"/>
      <c r="M438" s="1610"/>
    </row>
    <row r="439" spans="1:13" ht="15">
      <c r="A439" s="1704" t="s">
        <v>2679</v>
      </c>
      <c r="B439" s="1644" t="s">
        <v>2423</v>
      </c>
      <c r="C439" s="1644">
        <v>13</v>
      </c>
      <c r="D439" s="1644" t="s">
        <v>2424</v>
      </c>
      <c r="E439" s="1641" t="s">
        <v>2530</v>
      </c>
      <c r="F439" s="1705" t="s">
        <v>2680</v>
      </c>
      <c r="G439" s="1705"/>
      <c r="H439" s="1706">
        <v>6029999</v>
      </c>
      <c r="I439" s="1644" t="s">
        <v>2523</v>
      </c>
      <c r="J439" s="1707"/>
      <c r="K439" s="1646">
        <v>1735000</v>
      </c>
      <c r="L439" s="1610"/>
      <c r="M439" s="1610"/>
    </row>
    <row r="440" spans="1:13" ht="15">
      <c r="A440" s="1704" t="s">
        <v>2679</v>
      </c>
      <c r="B440" s="1644" t="s">
        <v>2423</v>
      </c>
      <c r="C440" s="1644">
        <v>13</v>
      </c>
      <c r="D440" s="1644" t="s">
        <v>2424</v>
      </c>
      <c r="E440" s="1641" t="s">
        <v>2652</v>
      </c>
      <c r="F440" s="1705" t="s">
        <v>2680</v>
      </c>
      <c r="G440" s="1705"/>
      <c r="H440" s="1706">
        <v>6029999</v>
      </c>
      <c r="I440" s="1644" t="s">
        <v>2533</v>
      </c>
      <c r="J440" s="1707"/>
      <c r="K440" s="1646">
        <v>18295000</v>
      </c>
      <c r="L440" s="1610"/>
      <c r="M440" s="1610"/>
    </row>
    <row r="441" spans="1:13" ht="15">
      <c r="A441" s="1704" t="s">
        <v>2679</v>
      </c>
      <c r="B441" s="1644" t="s">
        <v>2427</v>
      </c>
      <c r="C441" s="1644">
        <v>13</v>
      </c>
      <c r="D441" s="1644" t="s">
        <v>2428</v>
      </c>
      <c r="E441" s="1641" t="s">
        <v>2538</v>
      </c>
      <c r="F441" s="1705" t="s">
        <v>2680</v>
      </c>
      <c r="G441" s="1705"/>
      <c r="H441" s="1706">
        <v>6029999</v>
      </c>
      <c r="I441" s="1644" t="s">
        <v>2537</v>
      </c>
      <c r="J441" s="1707"/>
      <c r="K441" s="1646">
        <v>30815000</v>
      </c>
      <c r="L441" s="1610"/>
      <c r="M441" s="1610"/>
    </row>
    <row r="442" spans="1:13" ht="15">
      <c r="A442" s="1704" t="s">
        <v>2679</v>
      </c>
      <c r="B442" s="1644" t="s">
        <v>2427</v>
      </c>
      <c r="C442" s="1644">
        <v>13</v>
      </c>
      <c r="D442" s="1644" t="s">
        <v>2428</v>
      </c>
      <c r="E442" s="1641" t="s">
        <v>2542</v>
      </c>
      <c r="F442" s="1705" t="s">
        <v>2680</v>
      </c>
      <c r="G442" s="1705"/>
      <c r="H442" s="1706">
        <v>6029999</v>
      </c>
      <c r="I442" s="1644" t="s">
        <v>2541</v>
      </c>
      <c r="J442" s="1707"/>
      <c r="K442" s="1646">
        <v>130960000</v>
      </c>
      <c r="L442" s="1610"/>
      <c r="M442" s="1610"/>
    </row>
    <row r="443" spans="1:13" ht="15">
      <c r="A443" s="1704" t="s">
        <v>2679</v>
      </c>
      <c r="B443" s="1644" t="s">
        <v>2427</v>
      </c>
      <c r="C443" s="1644">
        <v>13</v>
      </c>
      <c r="D443" s="1644" t="s">
        <v>2428</v>
      </c>
      <c r="E443" s="1641" t="s">
        <v>2653</v>
      </c>
      <c r="F443" s="1705" t="s">
        <v>2680</v>
      </c>
      <c r="G443" s="1705"/>
      <c r="H443" s="1706">
        <v>6029999</v>
      </c>
      <c r="I443" s="1644" t="s">
        <v>2544</v>
      </c>
      <c r="J443" s="1707"/>
      <c r="K443" s="1646">
        <v>104286000</v>
      </c>
      <c r="L443" s="1610"/>
      <c r="M443" s="1610"/>
    </row>
    <row r="444" spans="1:13" ht="15">
      <c r="A444" s="1704" t="s">
        <v>2679</v>
      </c>
      <c r="B444" s="1644" t="s">
        <v>2427</v>
      </c>
      <c r="C444" s="1644">
        <v>13</v>
      </c>
      <c r="D444" s="1644" t="s">
        <v>2428</v>
      </c>
      <c r="E444" s="1641" t="s">
        <v>2549</v>
      </c>
      <c r="F444" s="1705" t="s">
        <v>2680</v>
      </c>
      <c r="G444" s="1705"/>
      <c r="H444" s="1706">
        <v>6029999</v>
      </c>
      <c r="I444" s="1644" t="s">
        <v>2548</v>
      </c>
      <c r="J444" s="1707"/>
      <c r="K444" s="1646">
        <v>37042000</v>
      </c>
      <c r="L444" s="1610"/>
      <c r="M444" s="1610"/>
    </row>
    <row r="445" spans="1:13" ht="15">
      <c r="A445" s="1704" t="s">
        <v>2679</v>
      </c>
      <c r="B445" s="1644" t="s">
        <v>2427</v>
      </c>
      <c r="C445" s="1644">
        <v>13</v>
      </c>
      <c r="D445" s="1644" t="s">
        <v>2428</v>
      </c>
      <c r="E445" s="1641" t="s">
        <v>2654</v>
      </c>
      <c r="F445" s="1705" t="s">
        <v>2680</v>
      </c>
      <c r="G445" s="1705"/>
      <c r="H445" s="1706">
        <v>6029999</v>
      </c>
      <c r="I445" s="1644" t="s">
        <v>2552</v>
      </c>
      <c r="J445" s="1707"/>
      <c r="K445" s="1646">
        <v>49740000</v>
      </c>
      <c r="L445" s="1610"/>
      <c r="M445" s="1610"/>
    </row>
    <row r="446" spans="1:13" ht="15">
      <c r="A446" s="1704" t="s">
        <v>2679</v>
      </c>
      <c r="B446" s="1644" t="s">
        <v>2427</v>
      </c>
      <c r="C446" s="1644">
        <v>13</v>
      </c>
      <c r="D446" s="1644" t="s">
        <v>2428</v>
      </c>
      <c r="E446" s="1641" t="s">
        <v>2655</v>
      </c>
      <c r="F446" s="1705" t="s">
        <v>2680</v>
      </c>
      <c r="G446" s="1705"/>
      <c r="H446" s="1706">
        <v>6029999</v>
      </c>
      <c r="I446" s="1644" t="s">
        <v>2556</v>
      </c>
      <c r="J446" s="1707"/>
      <c r="K446" s="1646">
        <v>88240000</v>
      </c>
      <c r="L446" s="1610"/>
      <c r="M446" s="1610"/>
    </row>
    <row r="447" spans="1:13" ht="15">
      <c r="A447" s="1704" t="s">
        <v>2679</v>
      </c>
      <c r="B447" s="1644" t="s">
        <v>2427</v>
      </c>
      <c r="C447" s="1644">
        <v>13</v>
      </c>
      <c r="D447" s="1644" t="s">
        <v>2428</v>
      </c>
      <c r="E447" s="1641" t="s">
        <v>2656</v>
      </c>
      <c r="F447" s="1705" t="s">
        <v>2680</v>
      </c>
      <c r="G447" s="1705"/>
      <c r="H447" s="1706">
        <v>6029999</v>
      </c>
      <c r="I447" s="1644" t="s">
        <v>2560</v>
      </c>
      <c r="J447" s="1707"/>
      <c r="K447" s="1646">
        <v>43650000</v>
      </c>
      <c r="L447" s="1610"/>
      <c r="M447" s="1610"/>
    </row>
    <row r="448" spans="1:13" ht="15">
      <c r="A448" s="1704" t="s">
        <v>2679</v>
      </c>
      <c r="B448" s="1644" t="s">
        <v>2427</v>
      </c>
      <c r="C448" s="1644">
        <v>13</v>
      </c>
      <c r="D448" s="1644" t="s">
        <v>2428</v>
      </c>
      <c r="E448" s="1641" t="s">
        <v>2565</v>
      </c>
      <c r="F448" s="1705" t="s">
        <v>2680</v>
      </c>
      <c r="G448" s="1705"/>
      <c r="H448" s="1706">
        <v>6029999</v>
      </c>
      <c r="I448" s="1644" t="s">
        <v>2564</v>
      </c>
      <c r="J448" s="1707"/>
      <c r="K448" s="1646">
        <v>71669000</v>
      </c>
      <c r="L448" s="1610"/>
      <c r="M448" s="1610"/>
    </row>
    <row r="449" spans="1:13" ht="15">
      <c r="A449" s="1704" t="s">
        <v>2679</v>
      </c>
      <c r="B449" s="1644" t="s">
        <v>2427</v>
      </c>
      <c r="C449" s="1644">
        <v>13</v>
      </c>
      <c r="D449" s="1644" t="s">
        <v>2428</v>
      </c>
      <c r="E449" s="1641" t="s">
        <v>2657</v>
      </c>
      <c r="F449" s="1705" t="s">
        <v>2680</v>
      </c>
      <c r="G449" s="1705"/>
      <c r="H449" s="1706">
        <v>6029999</v>
      </c>
      <c r="I449" s="1644" t="s">
        <v>2568</v>
      </c>
      <c r="J449" s="1707"/>
      <c r="K449" s="1646">
        <v>35405000</v>
      </c>
      <c r="L449" s="1610"/>
      <c r="M449" s="1610"/>
    </row>
    <row r="450" spans="1:13" ht="15">
      <c r="A450" s="1704" t="s">
        <v>2679</v>
      </c>
      <c r="B450" s="1644" t="s">
        <v>2427</v>
      </c>
      <c r="C450" s="1644">
        <v>13</v>
      </c>
      <c r="D450" s="1644" t="s">
        <v>2428</v>
      </c>
      <c r="E450" s="1641" t="s">
        <v>2658</v>
      </c>
      <c r="F450" s="1705" t="s">
        <v>2680</v>
      </c>
      <c r="G450" s="1705"/>
      <c r="H450" s="1706">
        <v>6029999</v>
      </c>
      <c r="I450" s="1644" t="s">
        <v>2572</v>
      </c>
      <c r="J450" s="1707"/>
      <c r="K450" s="1646">
        <v>150528000</v>
      </c>
      <c r="L450" s="1610"/>
      <c r="M450" s="1610"/>
    </row>
    <row r="451" spans="1:13" ht="15">
      <c r="A451" s="1704" t="s">
        <v>2679</v>
      </c>
      <c r="B451" s="1644" t="s">
        <v>2427</v>
      </c>
      <c r="C451" s="1644">
        <v>13</v>
      </c>
      <c r="D451" s="1644" t="s">
        <v>2428</v>
      </c>
      <c r="E451" s="1641" t="s">
        <v>2659</v>
      </c>
      <c r="F451" s="1705" t="s">
        <v>2680</v>
      </c>
      <c r="G451" s="1705"/>
      <c r="H451" s="1706">
        <v>6029999</v>
      </c>
      <c r="I451" s="1644" t="s">
        <v>2572</v>
      </c>
      <c r="J451" s="1707"/>
      <c r="K451" s="1646">
        <v>42393000</v>
      </c>
      <c r="L451" s="1610"/>
      <c r="M451" s="1610"/>
    </row>
    <row r="452" spans="1:13" ht="15">
      <c r="A452" s="1704" t="s">
        <v>2679</v>
      </c>
      <c r="B452" s="1644" t="s">
        <v>2427</v>
      </c>
      <c r="C452" s="1644">
        <v>13</v>
      </c>
      <c r="D452" s="1644" t="s">
        <v>2428</v>
      </c>
      <c r="E452" s="1641" t="s">
        <v>2660</v>
      </c>
      <c r="F452" s="1705" t="s">
        <v>2680</v>
      </c>
      <c r="G452" s="1705"/>
      <c r="H452" s="1706">
        <v>6029999</v>
      </c>
      <c r="I452" s="1644" t="s">
        <v>2579</v>
      </c>
      <c r="J452" s="1707"/>
      <c r="K452" s="1646">
        <v>18009000</v>
      </c>
      <c r="L452" s="1610"/>
      <c r="M452" s="1610"/>
    </row>
    <row r="453" spans="1:13" ht="15">
      <c r="A453" s="1704" t="s">
        <v>2679</v>
      </c>
      <c r="B453" s="1644" t="s">
        <v>2331</v>
      </c>
      <c r="C453" s="1644">
        <v>13</v>
      </c>
      <c r="D453" s="1644" t="s">
        <v>2430</v>
      </c>
      <c r="E453" s="1641" t="s">
        <v>2661</v>
      </c>
      <c r="F453" s="1705" t="s">
        <v>2680</v>
      </c>
      <c r="G453" s="1705"/>
      <c r="H453" s="1706">
        <v>6029999</v>
      </c>
      <c r="I453" s="1644" t="s">
        <v>2579</v>
      </c>
      <c r="J453" s="1707"/>
      <c r="K453" s="1646">
        <v>15870000</v>
      </c>
      <c r="L453" s="1610"/>
      <c r="M453" s="1610"/>
    </row>
    <row r="454" spans="1:13" ht="15">
      <c r="A454" s="1704" t="s">
        <v>2679</v>
      </c>
      <c r="B454" s="1644" t="s">
        <v>2331</v>
      </c>
      <c r="C454" s="1644">
        <v>13</v>
      </c>
      <c r="D454" s="1644" t="s">
        <v>2430</v>
      </c>
      <c r="E454" s="1641" t="s">
        <v>2662</v>
      </c>
      <c r="F454" s="1705" t="s">
        <v>2680</v>
      </c>
      <c r="G454" s="1705"/>
      <c r="H454" s="1706">
        <v>6029999</v>
      </c>
      <c r="I454" s="1644" t="s">
        <v>2372</v>
      </c>
      <c r="J454" s="1707"/>
      <c r="K454" s="1646">
        <v>401102000</v>
      </c>
      <c r="L454" s="1610"/>
      <c r="M454" s="1610"/>
    </row>
    <row r="455" spans="1:13" ht="15">
      <c r="A455" s="1704" t="s">
        <v>2679</v>
      </c>
      <c r="B455" s="1644" t="s">
        <v>2331</v>
      </c>
      <c r="C455" s="1644">
        <v>13</v>
      </c>
      <c r="D455" s="1644" t="s">
        <v>2430</v>
      </c>
      <c r="E455" s="1641" t="s">
        <v>2589</v>
      </c>
      <c r="F455" s="1705" t="s">
        <v>2680</v>
      </c>
      <c r="G455" s="1705"/>
      <c r="H455" s="1706">
        <v>6029999</v>
      </c>
      <c r="I455" s="1644" t="s">
        <v>2372</v>
      </c>
      <c r="J455" s="1707"/>
      <c r="K455" s="1646">
        <v>75797000</v>
      </c>
      <c r="L455" s="1610"/>
      <c r="M455" s="1610"/>
    </row>
    <row r="456" spans="1:13" ht="15">
      <c r="A456" s="1704" t="s">
        <v>2679</v>
      </c>
      <c r="B456" s="1644" t="s">
        <v>2331</v>
      </c>
      <c r="C456" s="1644">
        <v>13</v>
      </c>
      <c r="D456" s="1644" t="s">
        <v>2430</v>
      </c>
      <c r="E456" s="1641" t="s">
        <v>2663</v>
      </c>
      <c r="F456" s="1705" t="s">
        <v>2680</v>
      </c>
      <c r="G456" s="1705"/>
      <c r="H456" s="1706">
        <v>6029999</v>
      </c>
      <c r="I456" s="1644" t="s">
        <v>2372</v>
      </c>
      <c r="J456" s="1707"/>
      <c r="K456" s="1646">
        <v>19606000</v>
      </c>
      <c r="L456" s="1610"/>
      <c r="M456" s="1610"/>
    </row>
    <row r="457" spans="1:13" ht="15">
      <c r="A457" s="1704" t="s">
        <v>2679</v>
      </c>
      <c r="B457" s="1644" t="s">
        <v>2331</v>
      </c>
      <c r="C457" s="1644">
        <v>13</v>
      </c>
      <c r="D457" s="1644" t="s">
        <v>2430</v>
      </c>
      <c r="E457" s="1641" t="s">
        <v>2664</v>
      </c>
      <c r="F457" s="1705" t="s">
        <v>2680</v>
      </c>
      <c r="G457" s="1705"/>
      <c r="H457" s="1706">
        <v>6029999</v>
      </c>
      <c r="I457" s="1644" t="s">
        <v>2595</v>
      </c>
      <c r="J457" s="1707"/>
      <c r="K457" s="1646">
        <v>44478000</v>
      </c>
      <c r="L457" s="1610"/>
      <c r="M457" s="1610"/>
    </row>
    <row r="458" spans="1:13" ht="15">
      <c r="A458" s="1704" t="s">
        <v>2679</v>
      </c>
      <c r="B458" s="1644" t="s">
        <v>2331</v>
      </c>
      <c r="C458" s="1644">
        <v>13</v>
      </c>
      <c r="D458" s="1644" t="s">
        <v>2430</v>
      </c>
      <c r="E458" s="1641" t="s">
        <v>2665</v>
      </c>
      <c r="F458" s="1705" t="s">
        <v>2680</v>
      </c>
      <c r="G458" s="1705"/>
      <c r="H458" s="1706">
        <v>6029999</v>
      </c>
      <c r="I458" s="1644" t="s">
        <v>2595</v>
      </c>
      <c r="J458" s="1707"/>
      <c r="K458" s="1646">
        <v>20720000</v>
      </c>
      <c r="L458" s="1610"/>
      <c r="M458" s="1610"/>
    </row>
    <row r="459" spans="1:13" ht="15">
      <c r="A459" s="1704" t="s">
        <v>2679</v>
      </c>
      <c r="B459" s="1644" t="s">
        <v>2331</v>
      </c>
      <c r="C459" s="1644">
        <v>13</v>
      </c>
      <c r="D459" s="1644" t="s">
        <v>2430</v>
      </c>
      <c r="E459" s="1641" t="s">
        <v>2666</v>
      </c>
      <c r="F459" s="1705" t="s">
        <v>2680</v>
      </c>
      <c r="G459" s="1705"/>
      <c r="H459" s="1706">
        <v>6029999</v>
      </c>
      <c r="I459" s="1644" t="s">
        <v>2336</v>
      </c>
      <c r="J459" s="1707"/>
      <c r="K459" s="1646">
        <v>107800000</v>
      </c>
      <c r="L459" s="1610"/>
      <c r="M459" s="1610"/>
    </row>
    <row r="460" spans="1:13" ht="15">
      <c r="A460" s="1704" t="s">
        <v>2679</v>
      </c>
      <c r="B460" s="1644" t="s">
        <v>2331</v>
      </c>
      <c r="C460" s="1644">
        <v>13</v>
      </c>
      <c r="D460" s="1644" t="s">
        <v>2430</v>
      </c>
      <c r="E460" s="1641" t="s">
        <v>2667</v>
      </c>
      <c r="F460" s="1705" t="s">
        <v>2680</v>
      </c>
      <c r="G460" s="1705"/>
      <c r="H460" s="1706">
        <v>6029999</v>
      </c>
      <c r="I460" s="1644" t="s">
        <v>2336</v>
      </c>
      <c r="J460" s="1707"/>
      <c r="K460" s="1646">
        <v>24107000</v>
      </c>
      <c r="L460" s="1610"/>
      <c r="M460" s="1610"/>
    </row>
    <row r="461" spans="1:13" ht="15">
      <c r="A461" s="1704" t="s">
        <v>2679</v>
      </c>
      <c r="B461" s="1644" t="s">
        <v>2331</v>
      </c>
      <c r="C461" s="1644">
        <v>13</v>
      </c>
      <c r="D461" s="1644" t="s">
        <v>2430</v>
      </c>
      <c r="E461" s="1641" t="s">
        <v>2668</v>
      </c>
      <c r="F461" s="1705" t="s">
        <v>2680</v>
      </c>
      <c r="G461" s="1705"/>
      <c r="H461" s="1706">
        <v>6029999</v>
      </c>
      <c r="I461" s="1644" t="s">
        <v>2336</v>
      </c>
      <c r="J461" s="1707"/>
      <c r="K461" s="1646">
        <v>10120000</v>
      </c>
      <c r="L461" s="1610"/>
      <c r="M461" s="1610"/>
    </row>
    <row r="462" spans="1:13" ht="15">
      <c r="A462" s="1704" t="s">
        <v>2679</v>
      </c>
      <c r="B462" s="1644" t="s">
        <v>2331</v>
      </c>
      <c r="C462" s="1644">
        <v>13</v>
      </c>
      <c r="D462" s="1644" t="s">
        <v>2430</v>
      </c>
      <c r="E462" s="1641" t="s">
        <v>2669</v>
      </c>
      <c r="F462" s="1705" t="s">
        <v>2680</v>
      </c>
      <c r="G462" s="1705"/>
      <c r="H462" s="1706">
        <v>6029999</v>
      </c>
      <c r="I462" s="1644" t="s">
        <v>2611</v>
      </c>
      <c r="J462" s="1707"/>
      <c r="K462" s="1646">
        <v>35330000</v>
      </c>
      <c r="L462" s="1610"/>
      <c r="M462" s="1610"/>
    </row>
    <row r="463" spans="1:13" ht="15">
      <c r="A463" s="1704" t="s">
        <v>2679</v>
      </c>
      <c r="B463" s="1644" t="s">
        <v>2331</v>
      </c>
      <c r="C463" s="1644">
        <v>13</v>
      </c>
      <c r="D463" s="1644" t="s">
        <v>2430</v>
      </c>
      <c r="E463" s="1641" t="s">
        <v>2615</v>
      </c>
      <c r="F463" s="1705" t="s">
        <v>2680</v>
      </c>
      <c r="G463" s="1705"/>
      <c r="H463" s="1706">
        <v>6029999</v>
      </c>
      <c r="I463" s="1644" t="s">
        <v>2611</v>
      </c>
      <c r="J463" s="1707"/>
      <c r="K463" s="1646">
        <v>8666000</v>
      </c>
      <c r="L463" s="1610"/>
      <c r="M463" s="1610"/>
    </row>
    <row r="464" spans="1:13" ht="15">
      <c r="A464" s="1704" t="s">
        <v>2679</v>
      </c>
      <c r="B464" s="1644" t="s">
        <v>2331</v>
      </c>
      <c r="C464" s="1644">
        <v>13</v>
      </c>
      <c r="D464" s="1644" t="s">
        <v>2430</v>
      </c>
      <c r="E464" s="1641" t="s">
        <v>2619</v>
      </c>
      <c r="F464" s="1705" t="s">
        <v>2680</v>
      </c>
      <c r="G464" s="1705"/>
      <c r="H464" s="1706">
        <v>6029999</v>
      </c>
      <c r="I464" s="1644" t="s">
        <v>2618</v>
      </c>
      <c r="J464" s="1707"/>
      <c r="K464" s="1646">
        <v>18500000</v>
      </c>
      <c r="L464" s="1610"/>
      <c r="M464" s="1610"/>
    </row>
    <row r="465" spans="1:15" ht="15.75" thickBot="1">
      <c r="A465" s="1708" t="s">
        <v>2679</v>
      </c>
      <c r="B465" s="1655">
        <v>106</v>
      </c>
      <c r="C465" s="1655">
        <v>13</v>
      </c>
      <c r="D465" s="1709">
        <v>2106001</v>
      </c>
      <c r="E465" s="1710" t="s">
        <v>2670</v>
      </c>
      <c r="F465" s="1711" t="s">
        <v>2680</v>
      </c>
      <c r="G465" s="1711"/>
      <c r="H465" s="1712">
        <v>6029999</v>
      </c>
      <c r="I465" s="1655" t="s">
        <v>2618</v>
      </c>
      <c r="J465" s="1713"/>
      <c r="K465" s="1714">
        <v>13410000</v>
      </c>
      <c r="L465" s="1610"/>
      <c r="M465" s="1610"/>
    </row>
    <row r="466" spans="1:15" ht="15.75" thickBot="1">
      <c r="A466" s="1699"/>
      <c r="B466" s="1715"/>
      <c r="C466" s="1671"/>
      <c r="D466" s="1671"/>
      <c r="E466" s="1671" t="s">
        <v>2671</v>
      </c>
      <c r="F466" s="1626"/>
      <c r="G466" s="1672"/>
      <c r="H466" s="1626"/>
      <c r="I466" s="1673"/>
      <c r="J466" s="1626"/>
      <c r="K466" s="1674">
        <f>SUM(K467:K468)</f>
        <v>3487828000</v>
      </c>
      <c r="L466" s="1610"/>
      <c r="M466" s="1610"/>
    </row>
    <row r="467" spans="1:15" ht="15.75" thickBot="1">
      <c r="A467" s="1716" t="s">
        <v>2679</v>
      </c>
      <c r="B467" s="1717" t="s">
        <v>2316</v>
      </c>
      <c r="C467" s="1718">
        <v>13</v>
      </c>
      <c r="D467" s="1719" t="s">
        <v>2384</v>
      </c>
      <c r="E467" s="1720" t="s">
        <v>2385</v>
      </c>
      <c r="F467" s="1721" t="s">
        <v>2637</v>
      </c>
      <c r="G467" s="1722">
        <v>10430</v>
      </c>
      <c r="H467" s="1722">
        <v>6060000</v>
      </c>
      <c r="I467" s="1723">
        <v>3535</v>
      </c>
      <c r="J467" s="1723"/>
      <c r="K467" s="1724">
        <f>K393</f>
        <v>3487828000</v>
      </c>
      <c r="L467" s="1610"/>
      <c r="M467" s="1610"/>
    </row>
    <row r="468" spans="1:15" ht="15">
      <c r="A468" s="1610"/>
      <c r="B468" s="1610"/>
      <c r="C468" s="1610"/>
      <c r="D468" s="1610"/>
      <c r="E468" s="1610"/>
      <c r="F468" s="1610"/>
      <c r="G468" s="1610"/>
      <c r="H468" s="1610"/>
      <c r="I468" s="1610"/>
      <c r="J468" s="1610"/>
      <c r="K468" s="1610"/>
      <c r="L468" s="1610"/>
      <c r="M468" s="1610"/>
    </row>
    <row r="469" spans="1:15" ht="15">
      <c r="A469" s="1610"/>
      <c r="B469" s="1610"/>
      <c r="C469" s="1610"/>
      <c r="D469" s="1610"/>
      <c r="E469" s="1610"/>
      <c r="F469" s="1610"/>
      <c r="G469" s="1610"/>
      <c r="H469" s="1610"/>
      <c r="I469" s="1610"/>
      <c r="J469" s="1695" t="s">
        <v>2672</v>
      </c>
      <c r="K469" s="1610"/>
      <c r="L469" s="1610"/>
      <c r="M469" s="1610"/>
    </row>
    <row r="470" spans="1:15" ht="15">
      <c r="A470" s="1610"/>
      <c r="B470" s="1610"/>
      <c r="C470" s="1610"/>
      <c r="D470" s="1610"/>
      <c r="E470" s="1610"/>
      <c r="F470" s="1610"/>
      <c r="G470" s="1610"/>
      <c r="H470" s="1610"/>
      <c r="I470" s="1610"/>
      <c r="J470" s="1695" t="s">
        <v>2673</v>
      </c>
      <c r="K470" s="1610"/>
      <c r="L470" s="1610"/>
      <c r="M470" s="1610"/>
    </row>
    <row r="471" spans="1:15" ht="15">
      <c r="A471" s="1610"/>
      <c r="B471" s="1610"/>
      <c r="C471" s="1610"/>
      <c r="D471" s="1610"/>
      <c r="E471" s="1610"/>
      <c r="F471" s="1610"/>
      <c r="G471" s="1610"/>
      <c r="H471" s="1610"/>
      <c r="I471" s="1610"/>
      <c r="J471" s="1695" t="s">
        <v>2674</v>
      </c>
      <c r="K471" s="1610"/>
      <c r="L471" s="1610"/>
      <c r="M471" s="1610"/>
    </row>
    <row r="472" spans="1:15" ht="15">
      <c r="A472" s="1610"/>
      <c r="B472" s="1610"/>
      <c r="C472" s="1610"/>
      <c r="D472" s="1610"/>
      <c r="E472" s="1610"/>
      <c r="F472" s="1610"/>
      <c r="G472" s="1610"/>
      <c r="H472" s="1610"/>
      <c r="I472" s="1610"/>
      <c r="J472" s="1695" t="s">
        <v>2675</v>
      </c>
      <c r="K472" s="1610"/>
      <c r="L472" s="1610"/>
      <c r="M472" s="1610"/>
    </row>
    <row r="473" spans="1:15" ht="15">
      <c r="A473" s="1610"/>
      <c r="B473" s="1610"/>
      <c r="C473" s="1610"/>
      <c r="D473" s="1610"/>
      <c r="E473" s="1610"/>
      <c r="F473" s="1610"/>
      <c r="G473" s="1610"/>
      <c r="H473" s="1610"/>
      <c r="I473" s="1610"/>
      <c r="J473" s="1695" t="s">
        <v>2676</v>
      </c>
      <c r="K473" s="1610"/>
      <c r="L473" s="1610"/>
      <c r="M473" s="1610"/>
    </row>
    <row r="474" spans="1:15" ht="15">
      <c r="A474" s="1610"/>
      <c r="B474" s="1610"/>
      <c r="C474" s="1610"/>
      <c r="D474" s="1610"/>
      <c r="E474" s="1610"/>
      <c r="F474" s="1610"/>
      <c r="G474" s="1610"/>
      <c r="H474" s="1610"/>
      <c r="I474" s="1610"/>
      <c r="J474" s="1610"/>
      <c r="K474" s="1610"/>
      <c r="L474" s="1610"/>
      <c r="M474" s="1610"/>
    </row>
    <row r="475" spans="1:15" ht="15">
      <c r="A475" s="1610"/>
      <c r="B475" s="1610"/>
      <c r="C475" s="1610"/>
      <c r="D475" s="1610"/>
      <c r="E475" s="1610"/>
      <c r="F475" s="1610"/>
      <c r="G475" s="1610"/>
      <c r="H475" s="1610"/>
      <c r="I475" s="1610"/>
      <c r="J475" s="1610"/>
      <c r="K475" s="1610"/>
      <c r="L475" s="1610"/>
      <c r="M475" s="1610"/>
    </row>
    <row r="476" spans="1:15" ht="15">
      <c r="A476" s="1610"/>
      <c r="B476" s="1610"/>
      <c r="C476" s="1610"/>
      <c r="D476" s="1610"/>
      <c r="E476" s="1610"/>
      <c r="F476" s="1610"/>
      <c r="G476" s="1610"/>
      <c r="H476" s="1610"/>
      <c r="I476" s="1610"/>
      <c r="J476" s="1610"/>
      <c r="K476" s="1610"/>
      <c r="L476" s="1610"/>
      <c r="M476" s="1610"/>
    </row>
    <row r="477" spans="1:15" ht="15">
      <c r="A477" s="1725" t="s">
        <v>2300</v>
      </c>
      <c r="B477" s="1726"/>
      <c r="C477" s="1726"/>
      <c r="D477" s="1727"/>
      <c r="E477" s="1726"/>
      <c r="F477" s="1726"/>
      <c r="G477" s="1727"/>
      <c r="H477" s="1726"/>
      <c r="I477" s="1726"/>
      <c r="J477" s="1726"/>
      <c r="K477" s="1726"/>
      <c r="L477" s="1726"/>
      <c r="M477" s="1726"/>
      <c r="N477" s="1726"/>
      <c r="O477" s="1728"/>
    </row>
    <row r="478" spans="1:15" ht="15">
      <c r="A478" s="1725" t="s">
        <v>27</v>
      </c>
      <c r="B478" s="1726"/>
      <c r="C478" s="1726"/>
      <c r="D478" s="1727"/>
      <c r="E478" s="1726"/>
      <c r="F478" s="1726"/>
      <c r="G478" s="1727"/>
      <c r="H478" s="1726"/>
      <c r="I478" s="1726"/>
      <c r="J478" s="1726"/>
      <c r="K478" s="1726"/>
      <c r="L478" s="1726"/>
      <c r="M478" s="1726"/>
      <c r="N478" s="1726"/>
      <c r="O478" s="1728"/>
    </row>
    <row r="479" spans="1:15" ht="15">
      <c r="A479" s="1729" t="s">
        <v>2681</v>
      </c>
      <c r="B479" s="1726"/>
      <c r="C479" s="1726"/>
      <c r="D479" s="1728"/>
      <c r="E479" s="1726"/>
      <c r="F479" s="1726"/>
      <c r="G479" s="1727"/>
      <c r="H479" s="1726"/>
      <c r="I479" s="1726"/>
      <c r="J479" s="1726"/>
      <c r="K479" s="1726"/>
      <c r="L479" s="1726"/>
      <c r="M479" s="1726"/>
      <c r="N479" s="1726"/>
      <c r="O479" s="1728"/>
    </row>
    <row r="480" spans="1:15" ht="15.75" thickBot="1">
      <c r="A480" s="1725"/>
      <c r="B480" s="1726"/>
      <c r="C480" s="1726"/>
      <c r="D480" s="1727"/>
      <c r="E480" s="1726"/>
      <c r="F480" s="1726"/>
      <c r="G480" s="1727"/>
      <c r="H480" s="1726"/>
      <c r="I480" s="1726"/>
      <c r="J480" s="1726"/>
      <c r="K480" s="1726"/>
      <c r="L480" s="1726"/>
      <c r="M480" s="1726"/>
      <c r="N480" s="1726"/>
      <c r="O480" s="1728"/>
    </row>
    <row r="481" spans="1:15" ht="45.75" thickBot="1">
      <c r="A481" s="1730" t="s">
        <v>2303</v>
      </c>
      <c r="B481" s="1731" t="s">
        <v>2304</v>
      </c>
      <c r="C481" s="1732" t="s">
        <v>2305</v>
      </c>
      <c r="D481" s="1733" t="s">
        <v>2306</v>
      </c>
      <c r="E481" s="1732" t="s">
        <v>2307</v>
      </c>
      <c r="F481" s="1731" t="s">
        <v>87</v>
      </c>
      <c r="G481" s="1734" t="s">
        <v>2682</v>
      </c>
      <c r="H481" s="1735" t="s">
        <v>2633</v>
      </c>
      <c r="I481" s="1736" t="s">
        <v>2634</v>
      </c>
      <c r="J481" s="1735" t="s">
        <v>2683</v>
      </c>
      <c r="K481" s="1736" t="s">
        <v>2684</v>
      </c>
      <c r="L481" s="1735" t="s">
        <v>2685</v>
      </c>
      <c r="M481" s="1732" t="s">
        <v>2314</v>
      </c>
      <c r="N481" s="1731" t="s">
        <v>2315</v>
      </c>
      <c r="O481" s="1737"/>
    </row>
    <row r="482" spans="1:15" ht="15.75" thickBot="1">
      <c r="A482" s="1738"/>
      <c r="B482" s="1739"/>
      <c r="C482" s="1739"/>
      <c r="D482" s="1740"/>
      <c r="E482" s="1741" t="s">
        <v>2636</v>
      </c>
      <c r="F482" s="1739"/>
      <c r="G482" s="1742"/>
      <c r="H482" s="1739"/>
      <c r="I482" s="1743"/>
      <c r="J482" s="1743"/>
      <c r="K482" s="1743"/>
      <c r="L482" s="1743"/>
      <c r="M482" s="1744">
        <f>SUM(M483:M604)</f>
        <v>3597290000</v>
      </c>
      <c r="N482" s="1745"/>
      <c r="O482" s="1746"/>
    </row>
    <row r="483" spans="1:15" ht="15">
      <c r="A483" s="1747" t="s">
        <v>2417</v>
      </c>
      <c r="B483" s="1748">
        <v>13</v>
      </c>
      <c r="C483" s="1749" t="s">
        <v>2418</v>
      </c>
      <c r="D483" s="1749" t="s">
        <v>2637</v>
      </c>
      <c r="E483" s="1750">
        <v>10430</v>
      </c>
      <c r="F483" s="1750">
        <v>6060000</v>
      </c>
      <c r="G483" s="1751" t="s">
        <v>2686</v>
      </c>
      <c r="H483" s="1749" t="s">
        <v>2361</v>
      </c>
      <c r="I483" s="1635" t="s">
        <v>2387</v>
      </c>
      <c r="J483" s="1752" t="s">
        <v>2319</v>
      </c>
      <c r="K483" s="1752" t="s">
        <v>2687</v>
      </c>
      <c r="L483" s="1752" t="s">
        <v>2687</v>
      </c>
      <c r="M483" s="1753">
        <v>5100000</v>
      </c>
      <c r="N483" s="1754" t="s">
        <v>2419</v>
      </c>
      <c r="O483" s="1755"/>
    </row>
    <row r="484" spans="1:15" ht="15">
      <c r="A484" s="1756" t="s">
        <v>2420</v>
      </c>
      <c r="B484" s="1757">
        <v>13</v>
      </c>
      <c r="C484" s="1645" t="s">
        <v>2421</v>
      </c>
      <c r="D484" s="1758" t="s">
        <v>2637</v>
      </c>
      <c r="E484" s="1759">
        <v>10430</v>
      </c>
      <c r="F484" s="1759">
        <v>6060000</v>
      </c>
      <c r="G484" s="1760" t="s">
        <v>2686</v>
      </c>
      <c r="H484" s="1758" t="s">
        <v>2361</v>
      </c>
      <c r="I484" s="1645" t="s">
        <v>2387</v>
      </c>
      <c r="J484" s="1761" t="s">
        <v>2319</v>
      </c>
      <c r="K484" s="1761" t="s">
        <v>2687</v>
      </c>
      <c r="L484" s="1761" t="s">
        <v>2687</v>
      </c>
      <c r="M484" s="1762">
        <v>2550000</v>
      </c>
      <c r="N484" s="1763" t="s">
        <v>2422</v>
      </c>
      <c r="O484" s="1755"/>
    </row>
    <row r="485" spans="1:15" ht="15">
      <c r="A485" s="1764" t="s">
        <v>2423</v>
      </c>
      <c r="B485" s="1757">
        <v>13</v>
      </c>
      <c r="C485" s="1758" t="s">
        <v>2424</v>
      </c>
      <c r="D485" s="1758" t="s">
        <v>2637</v>
      </c>
      <c r="E485" s="1759">
        <v>10430</v>
      </c>
      <c r="F485" s="1759">
        <v>6060000</v>
      </c>
      <c r="G485" s="1760" t="s">
        <v>2686</v>
      </c>
      <c r="H485" s="1758" t="s">
        <v>2425</v>
      </c>
      <c r="I485" s="1645" t="s">
        <v>2387</v>
      </c>
      <c r="J485" s="1761" t="s">
        <v>2319</v>
      </c>
      <c r="K485" s="1761" t="s">
        <v>2687</v>
      </c>
      <c r="L485" s="1761" t="s">
        <v>2687</v>
      </c>
      <c r="M485" s="1762">
        <v>2950000</v>
      </c>
      <c r="N485" s="1763" t="s">
        <v>2426</v>
      </c>
      <c r="O485" s="1755"/>
    </row>
    <row r="486" spans="1:15" ht="15">
      <c r="A486" s="1764" t="s">
        <v>2427</v>
      </c>
      <c r="B486" s="1757">
        <v>13</v>
      </c>
      <c r="C486" s="1758" t="s">
        <v>2428</v>
      </c>
      <c r="D486" s="1758" t="s">
        <v>2637</v>
      </c>
      <c r="E486" s="1759">
        <v>10430</v>
      </c>
      <c r="F486" s="1759">
        <v>6060000</v>
      </c>
      <c r="G486" s="1760" t="s">
        <v>2686</v>
      </c>
      <c r="H486" s="1758" t="s">
        <v>2333</v>
      </c>
      <c r="I486" s="1645" t="s">
        <v>2387</v>
      </c>
      <c r="J486" s="1761" t="s">
        <v>2319</v>
      </c>
      <c r="K486" s="1761" t="s">
        <v>2687</v>
      </c>
      <c r="L486" s="1761" t="s">
        <v>2687</v>
      </c>
      <c r="M486" s="1762">
        <v>4700000</v>
      </c>
      <c r="N486" s="1763" t="s">
        <v>2429</v>
      </c>
      <c r="O486" s="1755"/>
    </row>
    <row r="487" spans="1:15" ht="15">
      <c r="A487" s="1764" t="s">
        <v>2331</v>
      </c>
      <c r="B487" s="1757">
        <v>13</v>
      </c>
      <c r="C487" s="1758" t="s">
        <v>2430</v>
      </c>
      <c r="D487" s="1758" t="s">
        <v>2637</v>
      </c>
      <c r="E487" s="1759">
        <v>10430</v>
      </c>
      <c r="F487" s="1759">
        <v>6060000</v>
      </c>
      <c r="G487" s="1760" t="s">
        <v>2686</v>
      </c>
      <c r="H487" s="1758" t="s">
        <v>2333</v>
      </c>
      <c r="I487" s="1645" t="s">
        <v>2387</v>
      </c>
      <c r="J487" s="1761" t="s">
        <v>2319</v>
      </c>
      <c r="K487" s="1761" t="s">
        <v>2687</v>
      </c>
      <c r="L487" s="1761" t="s">
        <v>2687</v>
      </c>
      <c r="M487" s="1762">
        <v>3190000</v>
      </c>
      <c r="N487" s="1763" t="s">
        <v>2431</v>
      </c>
      <c r="O487" s="1755"/>
    </row>
    <row r="488" spans="1:15" ht="15">
      <c r="A488" s="1764">
        <v>106</v>
      </c>
      <c r="B488" s="1757">
        <v>13</v>
      </c>
      <c r="C488" s="1758">
        <v>2106001</v>
      </c>
      <c r="D488" s="1758" t="s">
        <v>2637</v>
      </c>
      <c r="E488" s="1759">
        <v>10430</v>
      </c>
      <c r="F488" s="1759">
        <v>6060000</v>
      </c>
      <c r="G488" s="1760" t="s">
        <v>2686</v>
      </c>
      <c r="H488" s="1758" t="s">
        <v>2392</v>
      </c>
      <c r="I488" s="1645" t="s">
        <v>2387</v>
      </c>
      <c r="J488" s="1761" t="s">
        <v>2319</v>
      </c>
      <c r="K488" s="1761" t="s">
        <v>2687</v>
      </c>
      <c r="L488" s="1761" t="s">
        <v>2687</v>
      </c>
      <c r="M488" s="1762">
        <v>70530000</v>
      </c>
      <c r="N488" s="1763" t="s">
        <v>2432</v>
      </c>
      <c r="O488" s="1755"/>
    </row>
    <row r="489" spans="1:15" ht="15">
      <c r="A489" s="1764" t="s">
        <v>2433</v>
      </c>
      <c r="B489" s="1757">
        <v>13</v>
      </c>
      <c r="C489" s="1758" t="s">
        <v>2434</v>
      </c>
      <c r="D489" s="1758" t="s">
        <v>2637</v>
      </c>
      <c r="E489" s="1759">
        <v>10430</v>
      </c>
      <c r="F489" s="1759">
        <v>6060000</v>
      </c>
      <c r="G489" s="1760" t="s">
        <v>2686</v>
      </c>
      <c r="H489" s="1758" t="s">
        <v>2435</v>
      </c>
      <c r="I489" s="1645" t="s">
        <v>2387</v>
      </c>
      <c r="J489" s="1761" t="s">
        <v>2319</v>
      </c>
      <c r="K489" s="1761" t="s">
        <v>2687</v>
      </c>
      <c r="L489" s="1761" t="s">
        <v>2687</v>
      </c>
      <c r="M489" s="1762">
        <v>20110000</v>
      </c>
      <c r="N489" s="1763" t="s">
        <v>2436</v>
      </c>
      <c r="O489" s="1755"/>
    </row>
    <row r="490" spans="1:15" ht="15">
      <c r="A490" s="1764" t="s">
        <v>2437</v>
      </c>
      <c r="B490" s="1757">
        <v>13</v>
      </c>
      <c r="C490" s="1758" t="s">
        <v>2438</v>
      </c>
      <c r="D490" s="1758" t="s">
        <v>2637</v>
      </c>
      <c r="E490" s="1759">
        <v>10430</v>
      </c>
      <c r="F490" s="1759">
        <v>6060000</v>
      </c>
      <c r="G490" s="1760" t="s">
        <v>2686</v>
      </c>
      <c r="H490" s="1765" t="s">
        <v>2439</v>
      </c>
      <c r="I490" s="1645" t="s">
        <v>2387</v>
      </c>
      <c r="J490" s="1761" t="s">
        <v>2319</v>
      </c>
      <c r="K490" s="1761" t="s">
        <v>2687</v>
      </c>
      <c r="L490" s="1761" t="s">
        <v>2687</v>
      </c>
      <c r="M490" s="1762">
        <v>21180000</v>
      </c>
      <c r="N490" s="1763" t="s">
        <v>2440</v>
      </c>
      <c r="O490" s="1755"/>
    </row>
    <row r="491" spans="1:15" ht="15">
      <c r="A491" s="1764" t="s">
        <v>2441</v>
      </c>
      <c r="B491" s="1757">
        <v>13</v>
      </c>
      <c r="C491" s="1758" t="s">
        <v>2442</v>
      </c>
      <c r="D491" s="1758" t="s">
        <v>2637</v>
      </c>
      <c r="E491" s="1759">
        <v>10430</v>
      </c>
      <c r="F491" s="1759">
        <v>6060000</v>
      </c>
      <c r="G491" s="1760" t="s">
        <v>2686</v>
      </c>
      <c r="H491" s="1765" t="s">
        <v>2439</v>
      </c>
      <c r="I491" s="1645" t="s">
        <v>2387</v>
      </c>
      <c r="J491" s="1761" t="s">
        <v>2319</v>
      </c>
      <c r="K491" s="1761" t="s">
        <v>2687</v>
      </c>
      <c r="L491" s="1761" t="s">
        <v>2687</v>
      </c>
      <c r="M491" s="1762">
        <v>28280000</v>
      </c>
      <c r="N491" s="1763" t="s">
        <v>2443</v>
      </c>
      <c r="O491" s="1755"/>
    </row>
    <row r="492" spans="1:15" ht="15">
      <c r="A492" s="1764" t="s">
        <v>2444</v>
      </c>
      <c r="B492" s="1757">
        <v>13</v>
      </c>
      <c r="C492" s="1758" t="s">
        <v>2445</v>
      </c>
      <c r="D492" s="1758" t="s">
        <v>2637</v>
      </c>
      <c r="E492" s="1759">
        <v>10430</v>
      </c>
      <c r="F492" s="1759">
        <v>6060000</v>
      </c>
      <c r="G492" s="1760" t="s">
        <v>2686</v>
      </c>
      <c r="H492" s="1758" t="s">
        <v>2349</v>
      </c>
      <c r="I492" s="1645" t="s">
        <v>2387</v>
      </c>
      <c r="J492" s="1761" t="s">
        <v>2319</v>
      </c>
      <c r="K492" s="1761" t="s">
        <v>2687</v>
      </c>
      <c r="L492" s="1761" t="s">
        <v>2687</v>
      </c>
      <c r="M492" s="1762">
        <v>1620000</v>
      </c>
      <c r="N492" s="1763" t="s">
        <v>2446</v>
      </c>
      <c r="O492" s="1755"/>
    </row>
    <row r="493" spans="1:15" ht="15">
      <c r="A493" s="1764" t="s">
        <v>2447</v>
      </c>
      <c r="B493" s="1757">
        <v>13</v>
      </c>
      <c r="C493" s="1758" t="s">
        <v>2448</v>
      </c>
      <c r="D493" s="1758" t="s">
        <v>2637</v>
      </c>
      <c r="E493" s="1759">
        <v>10430</v>
      </c>
      <c r="F493" s="1759">
        <v>6060000</v>
      </c>
      <c r="G493" s="1760" t="s">
        <v>2686</v>
      </c>
      <c r="H493" s="1758" t="s">
        <v>2349</v>
      </c>
      <c r="I493" s="1645" t="s">
        <v>2387</v>
      </c>
      <c r="J493" s="1761" t="s">
        <v>2319</v>
      </c>
      <c r="K493" s="1761" t="s">
        <v>2687</v>
      </c>
      <c r="L493" s="1761" t="s">
        <v>2687</v>
      </c>
      <c r="M493" s="1762">
        <v>810000</v>
      </c>
      <c r="N493" s="1763" t="s">
        <v>2449</v>
      </c>
      <c r="O493" s="1755"/>
    </row>
    <row r="494" spans="1:15" ht="15">
      <c r="A494" s="1764" t="s">
        <v>2450</v>
      </c>
      <c r="B494" s="1757">
        <v>13</v>
      </c>
      <c r="C494" s="1758" t="s">
        <v>2451</v>
      </c>
      <c r="D494" s="1758" t="s">
        <v>2637</v>
      </c>
      <c r="E494" s="1759">
        <v>10430</v>
      </c>
      <c r="F494" s="1759">
        <v>6060000</v>
      </c>
      <c r="G494" s="1760" t="s">
        <v>2686</v>
      </c>
      <c r="H494" s="1758" t="s">
        <v>2452</v>
      </c>
      <c r="I494" s="1645" t="s">
        <v>2387</v>
      </c>
      <c r="J494" s="1761" t="s">
        <v>2319</v>
      </c>
      <c r="K494" s="1761" t="s">
        <v>2687</v>
      </c>
      <c r="L494" s="1761" t="s">
        <v>2687</v>
      </c>
      <c r="M494" s="1762">
        <v>7600000</v>
      </c>
      <c r="N494" s="1763" t="s">
        <v>2453</v>
      </c>
      <c r="O494" s="1755"/>
    </row>
    <row r="495" spans="1:15" ht="15">
      <c r="A495" s="1764" t="s">
        <v>2454</v>
      </c>
      <c r="B495" s="1757">
        <v>13</v>
      </c>
      <c r="C495" s="1758" t="s">
        <v>2455</v>
      </c>
      <c r="D495" s="1758" t="s">
        <v>2637</v>
      </c>
      <c r="E495" s="1759">
        <v>10430</v>
      </c>
      <c r="F495" s="1759">
        <v>6060000</v>
      </c>
      <c r="G495" s="1760" t="s">
        <v>2686</v>
      </c>
      <c r="H495" s="1758" t="s">
        <v>2397</v>
      </c>
      <c r="I495" s="1645" t="s">
        <v>2387</v>
      </c>
      <c r="J495" s="1761" t="s">
        <v>2319</v>
      </c>
      <c r="K495" s="1761" t="s">
        <v>2687</v>
      </c>
      <c r="L495" s="1761" t="s">
        <v>2687</v>
      </c>
      <c r="M495" s="1762">
        <v>64990000</v>
      </c>
      <c r="N495" s="1763" t="s">
        <v>2456</v>
      </c>
      <c r="O495" s="1755"/>
    </row>
    <row r="496" spans="1:15" ht="15">
      <c r="A496" s="1764" t="s">
        <v>2457</v>
      </c>
      <c r="B496" s="1757">
        <v>13</v>
      </c>
      <c r="C496" s="1758" t="s">
        <v>2458</v>
      </c>
      <c r="D496" s="1758" t="s">
        <v>2637</v>
      </c>
      <c r="E496" s="1759">
        <v>10430</v>
      </c>
      <c r="F496" s="1759">
        <v>6060000</v>
      </c>
      <c r="G496" s="1760" t="s">
        <v>2686</v>
      </c>
      <c r="H496" s="1758" t="s">
        <v>2397</v>
      </c>
      <c r="I496" s="1645" t="s">
        <v>2387</v>
      </c>
      <c r="J496" s="1761" t="s">
        <v>2319</v>
      </c>
      <c r="K496" s="1761" t="s">
        <v>2687</v>
      </c>
      <c r="L496" s="1761" t="s">
        <v>2687</v>
      </c>
      <c r="M496" s="1762">
        <v>7110000</v>
      </c>
      <c r="N496" s="1763" t="s">
        <v>2459</v>
      </c>
      <c r="O496" s="1755"/>
    </row>
    <row r="497" spans="1:15" ht="15">
      <c r="A497" s="1764" t="s">
        <v>2460</v>
      </c>
      <c r="B497" s="1757">
        <v>13</v>
      </c>
      <c r="C497" s="1758" t="s">
        <v>2461</v>
      </c>
      <c r="D497" s="1758" t="s">
        <v>2637</v>
      </c>
      <c r="E497" s="1759">
        <v>10430</v>
      </c>
      <c r="F497" s="1759">
        <v>6060000</v>
      </c>
      <c r="G497" s="1760" t="s">
        <v>2686</v>
      </c>
      <c r="H497" s="1758" t="s">
        <v>2397</v>
      </c>
      <c r="I497" s="1645" t="s">
        <v>2387</v>
      </c>
      <c r="J497" s="1761" t="s">
        <v>2319</v>
      </c>
      <c r="K497" s="1761" t="s">
        <v>2687</v>
      </c>
      <c r="L497" s="1761" t="s">
        <v>2687</v>
      </c>
      <c r="M497" s="1762">
        <v>9990000</v>
      </c>
      <c r="N497" s="1763" t="s">
        <v>2462</v>
      </c>
      <c r="O497" s="1755"/>
    </row>
    <row r="498" spans="1:15" ht="15">
      <c r="A498" s="1764" t="s">
        <v>2463</v>
      </c>
      <c r="B498" s="1757">
        <v>13</v>
      </c>
      <c r="C498" s="1758" t="s">
        <v>2464</v>
      </c>
      <c r="D498" s="1758" t="s">
        <v>2637</v>
      </c>
      <c r="E498" s="1759">
        <v>10430</v>
      </c>
      <c r="F498" s="1759">
        <v>6060000</v>
      </c>
      <c r="G498" s="1760" t="s">
        <v>2686</v>
      </c>
      <c r="H498" s="1758" t="s">
        <v>2465</v>
      </c>
      <c r="I498" s="1645" t="s">
        <v>2387</v>
      </c>
      <c r="J498" s="1761" t="s">
        <v>2319</v>
      </c>
      <c r="K498" s="1761" t="s">
        <v>2687</v>
      </c>
      <c r="L498" s="1761" t="s">
        <v>2687</v>
      </c>
      <c r="M498" s="1762">
        <v>17850000</v>
      </c>
      <c r="N498" s="1763" t="s">
        <v>2466</v>
      </c>
      <c r="O498" s="1755"/>
    </row>
    <row r="499" spans="1:15" ht="15">
      <c r="A499" s="1764" t="s">
        <v>2467</v>
      </c>
      <c r="B499" s="1757">
        <v>13</v>
      </c>
      <c r="C499" s="1758" t="s">
        <v>2468</v>
      </c>
      <c r="D499" s="1758" t="s">
        <v>2637</v>
      </c>
      <c r="E499" s="1759">
        <v>10430</v>
      </c>
      <c r="F499" s="1759">
        <v>6060000</v>
      </c>
      <c r="G499" s="1760" t="s">
        <v>2686</v>
      </c>
      <c r="H499" s="1758" t="s">
        <v>2469</v>
      </c>
      <c r="I499" s="1645" t="s">
        <v>2387</v>
      </c>
      <c r="J499" s="1761" t="s">
        <v>2319</v>
      </c>
      <c r="K499" s="1761" t="s">
        <v>2687</v>
      </c>
      <c r="L499" s="1761" t="s">
        <v>2687</v>
      </c>
      <c r="M499" s="1762">
        <v>27100000</v>
      </c>
      <c r="N499" s="1763" t="s">
        <v>2470</v>
      </c>
      <c r="O499" s="1755"/>
    </row>
    <row r="500" spans="1:15" ht="15">
      <c r="A500" s="1764" t="s">
        <v>2471</v>
      </c>
      <c r="B500" s="1757">
        <v>13</v>
      </c>
      <c r="C500" s="1758" t="s">
        <v>2472</v>
      </c>
      <c r="D500" s="1758" t="s">
        <v>2637</v>
      </c>
      <c r="E500" s="1759">
        <v>10430</v>
      </c>
      <c r="F500" s="1759">
        <v>6060000</v>
      </c>
      <c r="G500" s="1760" t="s">
        <v>2686</v>
      </c>
      <c r="H500" s="1758" t="s">
        <v>2473</v>
      </c>
      <c r="I500" s="1645" t="s">
        <v>2387</v>
      </c>
      <c r="J500" s="1761" t="s">
        <v>2319</v>
      </c>
      <c r="K500" s="1761" t="s">
        <v>2687</v>
      </c>
      <c r="L500" s="1761" t="s">
        <v>2687</v>
      </c>
      <c r="M500" s="1762">
        <v>35920000</v>
      </c>
      <c r="N500" s="1763" t="s">
        <v>2474</v>
      </c>
      <c r="O500" s="1755"/>
    </row>
    <row r="501" spans="1:15" ht="15">
      <c r="A501" s="1764" t="s">
        <v>2475</v>
      </c>
      <c r="B501" s="1757">
        <v>13</v>
      </c>
      <c r="C501" s="1758" t="s">
        <v>2476</v>
      </c>
      <c r="D501" s="1758" t="s">
        <v>2637</v>
      </c>
      <c r="E501" s="1759">
        <v>10430</v>
      </c>
      <c r="F501" s="1759">
        <v>6060000</v>
      </c>
      <c r="G501" s="1760" t="s">
        <v>2686</v>
      </c>
      <c r="H501" s="1758" t="s">
        <v>2473</v>
      </c>
      <c r="I501" s="1645" t="s">
        <v>2387</v>
      </c>
      <c r="J501" s="1761" t="s">
        <v>2319</v>
      </c>
      <c r="K501" s="1761" t="s">
        <v>2687</v>
      </c>
      <c r="L501" s="1761" t="s">
        <v>2687</v>
      </c>
      <c r="M501" s="1762">
        <f>31580000+28150000</f>
        <v>59730000</v>
      </c>
      <c r="N501" s="1763" t="s">
        <v>2477</v>
      </c>
      <c r="O501" s="1755"/>
    </row>
    <row r="502" spans="1:15" ht="15">
      <c r="A502" s="1764" t="s">
        <v>2478</v>
      </c>
      <c r="B502" s="1757">
        <v>13</v>
      </c>
      <c r="C502" s="1758" t="s">
        <v>2479</v>
      </c>
      <c r="D502" s="1758" t="s">
        <v>2637</v>
      </c>
      <c r="E502" s="1759">
        <v>10430</v>
      </c>
      <c r="F502" s="1759">
        <v>6060000</v>
      </c>
      <c r="G502" s="1760" t="s">
        <v>2686</v>
      </c>
      <c r="H502" s="1758" t="s">
        <v>2325</v>
      </c>
      <c r="I502" s="1645" t="s">
        <v>2387</v>
      </c>
      <c r="J502" s="1761" t="s">
        <v>2319</v>
      </c>
      <c r="K502" s="1761" t="s">
        <v>2687</v>
      </c>
      <c r="L502" s="1761" t="s">
        <v>2687</v>
      </c>
      <c r="M502" s="1762">
        <v>5960000</v>
      </c>
      <c r="N502" s="1763" t="s">
        <v>2480</v>
      </c>
      <c r="O502" s="1755"/>
    </row>
    <row r="503" spans="1:15" ht="15">
      <c r="A503" s="1764" t="s">
        <v>2481</v>
      </c>
      <c r="B503" s="1757">
        <v>13</v>
      </c>
      <c r="C503" s="1758" t="s">
        <v>2482</v>
      </c>
      <c r="D503" s="1758" t="s">
        <v>2637</v>
      </c>
      <c r="E503" s="1759">
        <v>10430</v>
      </c>
      <c r="F503" s="1759">
        <v>6060000</v>
      </c>
      <c r="G503" s="1760" t="s">
        <v>2686</v>
      </c>
      <c r="H503" s="1758" t="s">
        <v>2325</v>
      </c>
      <c r="I503" s="1645" t="s">
        <v>2387</v>
      </c>
      <c r="J503" s="1761" t="s">
        <v>2319</v>
      </c>
      <c r="K503" s="1761" t="s">
        <v>2687</v>
      </c>
      <c r="L503" s="1761" t="s">
        <v>2687</v>
      </c>
      <c r="M503" s="1762">
        <v>1970000</v>
      </c>
      <c r="N503" s="1763" t="s">
        <v>2483</v>
      </c>
      <c r="O503" s="1755"/>
    </row>
    <row r="504" spans="1:15" ht="15">
      <c r="A504" s="1764" t="s">
        <v>2484</v>
      </c>
      <c r="B504" s="1757">
        <v>13</v>
      </c>
      <c r="C504" s="1758" t="s">
        <v>2485</v>
      </c>
      <c r="D504" s="1758" t="s">
        <v>2637</v>
      </c>
      <c r="E504" s="1759">
        <v>10430</v>
      </c>
      <c r="F504" s="1759">
        <v>6060000</v>
      </c>
      <c r="G504" s="1760" t="s">
        <v>2686</v>
      </c>
      <c r="H504" s="1758" t="s">
        <v>2325</v>
      </c>
      <c r="I504" s="1645" t="s">
        <v>2387</v>
      </c>
      <c r="J504" s="1761" t="s">
        <v>2319</v>
      </c>
      <c r="K504" s="1761" t="s">
        <v>2687</v>
      </c>
      <c r="L504" s="1761" t="s">
        <v>2687</v>
      </c>
      <c r="M504" s="1762">
        <v>2030000</v>
      </c>
      <c r="N504" s="1763" t="s">
        <v>2486</v>
      </c>
      <c r="O504" s="1755"/>
    </row>
    <row r="505" spans="1:15" ht="15">
      <c r="A505" s="1764" t="s">
        <v>2487</v>
      </c>
      <c r="B505" s="1757">
        <v>13</v>
      </c>
      <c r="C505" s="1758" t="s">
        <v>2488</v>
      </c>
      <c r="D505" s="1758" t="s">
        <v>2637</v>
      </c>
      <c r="E505" s="1759">
        <v>10430</v>
      </c>
      <c r="F505" s="1759">
        <v>6060000</v>
      </c>
      <c r="G505" s="1760" t="s">
        <v>2686</v>
      </c>
      <c r="H505" s="1758" t="s">
        <v>2489</v>
      </c>
      <c r="I505" s="1645" t="s">
        <v>2387</v>
      </c>
      <c r="J505" s="1761" t="s">
        <v>2319</v>
      </c>
      <c r="K505" s="1761" t="s">
        <v>2687</v>
      </c>
      <c r="L505" s="1761" t="s">
        <v>2687</v>
      </c>
      <c r="M505" s="1762">
        <v>4230000</v>
      </c>
      <c r="N505" s="1763" t="s">
        <v>2490</v>
      </c>
      <c r="O505" s="1755"/>
    </row>
    <row r="506" spans="1:15" ht="15">
      <c r="A506" s="1764" t="s">
        <v>2491</v>
      </c>
      <c r="B506" s="1757">
        <v>13</v>
      </c>
      <c r="C506" s="1758" t="s">
        <v>2492</v>
      </c>
      <c r="D506" s="1758" t="s">
        <v>2637</v>
      </c>
      <c r="E506" s="1759">
        <v>10430</v>
      </c>
      <c r="F506" s="1759">
        <v>6060000</v>
      </c>
      <c r="G506" s="1760" t="s">
        <v>2686</v>
      </c>
      <c r="H506" s="1758" t="s">
        <v>2489</v>
      </c>
      <c r="I506" s="1645" t="s">
        <v>2387</v>
      </c>
      <c r="J506" s="1761" t="s">
        <v>2319</v>
      </c>
      <c r="K506" s="1761" t="s">
        <v>2687</v>
      </c>
      <c r="L506" s="1761" t="s">
        <v>2687</v>
      </c>
      <c r="M506" s="1762">
        <v>2740000</v>
      </c>
      <c r="N506" s="1763" t="s">
        <v>2493</v>
      </c>
      <c r="O506" s="1755"/>
    </row>
    <row r="507" spans="1:15" ht="15">
      <c r="A507" s="1764" t="s">
        <v>2494</v>
      </c>
      <c r="B507" s="1757">
        <v>13</v>
      </c>
      <c r="C507" s="1758" t="s">
        <v>2495</v>
      </c>
      <c r="D507" s="1758" t="s">
        <v>2637</v>
      </c>
      <c r="E507" s="1759">
        <v>10430</v>
      </c>
      <c r="F507" s="1759">
        <v>6060000</v>
      </c>
      <c r="G507" s="1760" t="s">
        <v>2686</v>
      </c>
      <c r="H507" s="1758" t="s">
        <v>2496</v>
      </c>
      <c r="I507" s="1645" t="s">
        <v>2387</v>
      </c>
      <c r="J507" s="1761" t="s">
        <v>2319</v>
      </c>
      <c r="K507" s="1761" t="s">
        <v>2687</v>
      </c>
      <c r="L507" s="1761" t="s">
        <v>2687</v>
      </c>
      <c r="M507" s="1762">
        <v>7820000</v>
      </c>
      <c r="N507" s="1763" t="s">
        <v>2497</v>
      </c>
      <c r="O507" s="1755"/>
    </row>
    <row r="508" spans="1:15" ht="15">
      <c r="A508" s="1764" t="s">
        <v>148</v>
      </c>
      <c r="B508" s="1757">
        <v>13</v>
      </c>
      <c r="C508" s="1758" t="s">
        <v>2498</v>
      </c>
      <c r="D508" s="1758" t="s">
        <v>2637</v>
      </c>
      <c r="E508" s="1759">
        <v>10430</v>
      </c>
      <c r="F508" s="1759">
        <v>6060000</v>
      </c>
      <c r="G508" s="1760" t="s">
        <v>2686</v>
      </c>
      <c r="H508" s="1758" t="s">
        <v>2499</v>
      </c>
      <c r="I508" s="1645" t="s">
        <v>2387</v>
      </c>
      <c r="J508" s="1761" t="s">
        <v>2319</v>
      </c>
      <c r="K508" s="1761" t="s">
        <v>2687</v>
      </c>
      <c r="L508" s="1761" t="s">
        <v>2687</v>
      </c>
      <c r="M508" s="1762">
        <v>690000</v>
      </c>
      <c r="N508" s="1763" t="s">
        <v>2500</v>
      </c>
      <c r="O508" s="1755"/>
    </row>
    <row r="509" spans="1:15" ht="15">
      <c r="A509" s="1764" t="s">
        <v>2501</v>
      </c>
      <c r="B509" s="1757">
        <v>13</v>
      </c>
      <c r="C509" s="1758" t="s">
        <v>2502</v>
      </c>
      <c r="D509" s="1758" t="s">
        <v>2637</v>
      </c>
      <c r="E509" s="1759">
        <v>10430</v>
      </c>
      <c r="F509" s="1759">
        <v>6060000</v>
      </c>
      <c r="G509" s="1760" t="s">
        <v>2686</v>
      </c>
      <c r="H509" s="1758" t="s">
        <v>2499</v>
      </c>
      <c r="I509" s="1645" t="s">
        <v>2387</v>
      </c>
      <c r="J509" s="1761" t="s">
        <v>2319</v>
      </c>
      <c r="K509" s="1761" t="s">
        <v>2687</v>
      </c>
      <c r="L509" s="1761" t="s">
        <v>2687</v>
      </c>
      <c r="M509" s="1762">
        <v>150000</v>
      </c>
      <c r="N509" s="1763" t="s">
        <v>2503</v>
      </c>
      <c r="O509" s="1755"/>
    </row>
    <row r="510" spans="1:15" ht="15">
      <c r="A510" s="1764" t="s">
        <v>2504</v>
      </c>
      <c r="B510" s="1757">
        <v>13</v>
      </c>
      <c r="C510" s="1758" t="s">
        <v>2505</v>
      </c>
      <c r="D510" s="1758" t="s">
        <v>2637</v>
      </c>
      <c r="E510" s="1759">
        <v>10430</v>
      </c>
      <c r="F510" s="1759">
        <v>6060000</v>
      </c>
      <c r="G510" s="1760" t="s">
        <v>2686</v>
      </c>
      <c r="H510" s="1758" t="s">
        <v>2506</v>
      </c>
      <c r="I510" s="1645" t="s">
        <v>2387</v>
      </c>
      <c r="J510" s="1761" t="s">
        <v>2319</v>
      </c>
      <c r="K510" s="1761" t="s">
        <v>2687</v>
      </c>
      <c r="L510" s="1761" t="s">
        <v>2687</v>
      </c>
      <c r="M510" s="1762">
        <v>2490000</v>
      </c>
      <c r="N510" s="1763" t="s">
        <v>2507</v>
      </c>
      <c r="O510" s="1755"/>
    </row>
    <row r="511" spans="1:15" ht="15">
      <c r="A511" s="1764" t="s">
        <v>2508</v>
      </c>
      <c r="B511" s="1757">
        <v>13</v>
      </c>
      <c r="C511" s="1758" t="s">
        <v>2509</v>
      </c>
      <c r="D511" s="1758" t="s">
        <v>2637</v>
      </c>
      <c r="E511" s="1759">
        <v>10430</v>
      </c>
      <c r="F511" s="1759">
        <v>6060000</v>
      </c>
      <c r="G511" s="1760" t="s">
        <v>2686</v>
      </c>
      <c r="H511" s="1758" t="s">
        <v>2506</v>
      </c>
      <c r="I511" s="1645" t="s">
        <v>2387</v>
      </c>
      <c r="J511" s="1761" t="s">
        <v>2319</v>
      </c>
      <c r="K511" s="1761" t="s">
        <v>2687</v>
      </c>
      <c r="L511" s="1761" t="s">
        <v>2687</v>
      </c>
      <c r="M511" s="1762">
        <v>3730000</v>
      </c>
      <c r="N511" s="1763" t="s">
        <v>2510</v>
      </c>
      <c r="O511" s="1755"/>
    </row>
    <row r="512" spans="1:15" ht="15">
      <c r="A512" s="1764" t="s">
        <v>2511</v>
      </c>
      <c r="B512" s="1757">
        <v>13</v>
      </c>
      <c r="C512" s="1758" t="s">
        <v>2512</v>
      </c>
      <c r="D512" s="1758" t="s">
        <v>2637</v>
      </c>
      <c r="E512" s="1759">
        <v>10430</v>
      </c>
      <c r="F512" s="1759">
        <v>6060000</v>
      </c>
      <c r="G512" s="1760" t="s">
        <v>2686</v>
      </c>
      <c r="H512" s="1758" t="s">
        <v>2513</v>
      </c>
      <c r="I512" s="1645" t="s">
        <v>2387</v>
      </c>
      <c r="J512" s="1761" t="s">
        <v>2319</v>
      </c>
      <c r="K512" s="1761" t="s">
        <v>2687</v>
      </c>
      <c r="L512" s="1761" t="s">
        <v>2687</v>
      </c>
      <c r="M512" s="1762">
        <v>970000</v>
      </c>
      <c r="N512" s="1763" t="s">
        <v>2514</v>
      </c>
      <c r="O512" s="1755"/>
    </row>
    <row r="513" spans="1:15" ht="15">
      <c r="A513" s="1764" t="s">
        <v>2515</v>
      </c>
      <c r="B513" s="1757">
        <v>13</v>
      </c>
      <c r="C513" s="1758" t="s">
        <v>2516</v>
      </c>
      <c r="D513" s="1758" t="s">
        <v>2637</v>
      </c>
      <c r="E513" s="1759">
        <v>10430</v>
      </c>
      <c r="F513" s="1759">
        <v>6060000</v>
      </c>
      <c r="G513" s="1760" t="s">
        <v>2686</v>
      </c>
      <c r="H513" s="1758" t="s">
        <v>2513</v>
      </c>
      <c r="I513" s="1645" t="s">
        <v>2387</v>
      </c>
      <c r="J513" s="1761" t="s">
        <v>2319</v>
      </c>
      <c r="K513" s="1761" t="s">
        <v>2687</v>
      </c>
      <c r="L513" s="1761" t="s">
        <v>2687</v>
      </c>
      <c r="M513" s="1762">
        <v>1820000</v>
      </c>
      <c r="N513" s="1763" t="s">
        <v>2517</v>
      </c>
      <c r="O513" s="1755"/>
    </row>
    <row r="514" spans="1:15" ht="15">
      <c r="A514" s="1756" t="s">
        <v>2518</v>
      </c>
      <c r="B514" s="1757">
        <v>13</v>
      </c>
      <c r="C514" s="1645" t="s">
        <v>2519</v>
      </c>
      <c r="D514" s="1758" t="s">
        <v>2637</v>
      </c>
      <c r="E514" s="1759">
        <v>10430</v>
      </c>
      <c r="F514" s="1759">
        <v>6060000</v>
      </c>
      <c r="G514" s="1760" t="s">
        <v>2686</v>
      </c>
      <c r="H514" s="1645" t="s">
        <v>2499</v>
      </c>
      <c r="I514" s="1645" t="s">
        <v>2387</v>
      </c>
      <c r="J514" s="1761" t="s">
        <v>2319</v>
      </c>
      <c r="K514" s="1761" t="s">
        <v>2687</v>
      </c>
      <c r="L514" s="1761" t="s">
        <v>2687</v>
      </c>
      <c r="M514" s="1762">
        <v>270000</v>
      </c>
      <c r="N514" s="1766" t="s">
        <v>2520</v>
      </c>
      <c r="O514" s="1755"/>
    </row>
    <row r="515" spans="1:15" ht="15">
      <c r="A515" s="1764" t="s">
        <v>2521</v>
      </c>
      <c r="B515" s="1757">
        <v>13</v>
      </c>
      <c r="C515" s="1758" t="s">
        <v>2522</v>
      </c>
      <c r="D515" s="1758" t="s">
        <v>2637</v>
      </c>
      <c r="E515" s="1759">
        <v>10430</v>
      </c>
      <c r="F515" s="1759">
        <v>6060000</v>
      </c>
      <c r="G515" s="1760" t="s">
        <v>2686</v>
      </c>
      <c r="H515" s="1758" t="s">
        <v>2523</v>
      </c>
      <c r="I515" s="1645" t="s">
        <v>2387</v>
      </c>
      <c r="J515" s="1761" t="s">
        <v>2319</v>
      </c>
      <c r="K515" s="1761" t="s">
        <v>2687</v>
      </c>
      <c r="L515" s="1761" t="s">
        <v>2687</v>
      </c>
      <c r="M515" s="1762">
        <v>8600000</v>
      </c>
      <c r="N515" s="1763" t="s">
        <v>2524</v>
      </c>
      <c r="O515" s="1755"/>
    </row>
    <row r="516" spans="1:15" ht="15">
      <c r="A516" s="1764" t="s">
        <v>2525</v>
      </c>
      <c r="B516" s="1757">
        <v>13</v>
      </c>
      <c r="C516" s="1758" t="s">
        <v>2526</v>
      </c>
      <c r="D516" s="1758" t="s">
        <v>2637</v>
      </c>
      <c r="E516" s="1759">
        <v>10430</v>
      </c>
      <c r="F516" s="1759">
        <v>6060000</v>
      </c>
      <c r="G516" s="1760" t="s">
        <v>2686</v>
      </c>
      <c r="H516" s="1758" t="s">
        <v>2523</v>
      </c>
      <c r="I516" s="1645" t="s">
        <v>2387</v>
      </c>
      <c r="J516" s="1761" t="s">
        <v>2319</v>
      </c>
      <c r="K516" s="1761" t="s">
        <v>2687</v>
      </c>
      <c r="L516" s="1761" t="s">
        <v>2687</v>
      </c>
      <c r="M516" s="1762">
        <v>33010000</v>
      </c>
      <c r="N516" s="1763" t="s">
        <v>2527</v>
      </c>
      <c r="O516" s="1755"/>
    </row>
    <row r="517" spans="1:15" ht="15">
      <c r="A517" s="1756" t="s">
        <v>2528</v>
      </c>
      <c r="B517" s="1757">
        <v>13</v>
      </c>
      <c r="C517" s="1645" t="s">
        <v>2529</v>
      </c>
      <c r="D517" s="1758" t="s">
        <v>2637</v>
      </c>
      <c r="E517" s="1759">
        <v>10430</v>
      </c>
      <c r="F517" s="1759">
        <v>6060000</v>
      </c>
      <c r="G517" s="1760" t="s">
        <v>2686</v>
      </c>
      <c r="H517" s="1645" t="s">
        <v>2523</v>
      </c>
      <c r="I517" s="1645" t="s">
        <v>2387</v>
      </c>
      <c r="J517" s="1761" t="s">
        <v>2319</v>
      </c>
      <c r="K517" s="1761" t="s">
        <v>2687</v>
      </c>
      <c r="L517" s="1761" t="s">
        <v>2687</v>
      </c>
      <c r="M517" s="1762">
        <v>380000</v>
      </c>
      <c r="N517" s="1766" t="s">
        <v>2530</v>
      </c>
      <c r="O517" s="1755"/>
    </row>
    <row r="518" spans="1:15" ht="15">
      <c r="A518" s="1764" t="s">
        <v>2531</v>
      </c>
      <c r="B518" s="1757">
        <v>13</v>
      </c>
      <c r="C518" s="1758" t="s">
        <v>2532</v>
      </c>
      <c r="D518" s="1758" t="s">
        <v>2637</v>
      </c>
      <c r="E518" s="1759">
        <v>10430</v>
      </c>
      <c r="F518" s="1759">
        <v>6060000</v>
      </c>
      <c r="G518" s="1760" t="s">
        <v>2686</v>
      </c>
      <c r="H518" s="1758" t="s">
        <v>2533</v>
      </c>
      <c r="I518" s="1645" t="s">
        <v>2387</v>
      </c>
      <c r="J518" s="1761" t="s">
        <v>2319</v>
      </c>
      <c r="K518" s="1761" t="s">
        <v>2687</v>
      </c>
      <c r="L518" s="1761" t="s">
        <v>2687</v>
      </c>
      <c r="M518" s="1762">
        <v>4460000</v>
      </c>
      <c r="N518" s="1763" t="s">
        <v>2534</v>
      </c>
      <c r="O518" s="1755"/>
    </row>
    <row r="519" spans="1:15" ht="15">
      <c r="A519" s="1764" t="s">
        <v>2535</v>
      </c>
      <c r="B519" s="1757">
        <v>13</v>
      </c>
      <c r="C519" s="1758" t="s">
        <v>2536</v>
      </c>
      <c r="D519" s="1758" t="s">
        <v>2637</v>
      </c>
      <c r="E519" s="1759">
        <v>10430</v>
      </c>
      <c r="F519" s="1759">
        <v>6060000</v>
      </c>
      <c r="G519" s="1760" t="s">
        <v>2686</v>
      </c>
      <c r="H519" s="1758" t="s">
        <v>2537</v>
      </c>
      <c r="I519" s="1645" t="s">
        <v>2387</v>
      </c>
      <c r="J519" s="1761" t="s">
        <v>2319</v>
      </c>
      <c r="K519" s="1761" t="s">
        <v>2687</v>
      </c>
      <c r="L519" s="1761" t="s">
        <v>2687</v>
      </c>
      <c r="M519" s="1762">
        <v>12320000</v>
      </c>
      <c r="N519" s="1763" t="s">
        <v>2538</v>
      </c>
      <c r="O519" s="1755"/>
    </row>
    <row r="520" spans="1:15" ht="15">
      <c r="A520" s="1764" t="s">
        <v>2539</v>
      </c>
      <c r="B520" s="1757">
        <v>13</v>
      </c>
      <c r="C520" s="1758" t="s">
        <v>2540</v>
      </c>
      <c r="D520" s="1758" t="s">
        <v>2637</v>
      </c>
      <c r="E520" s="1759">
        <v>10430</v>
      </c>
      <c r="F520" s="1759">
        <v>6060000</v>
      </c>
      <c r="G520" s="1760" t="s">
        <v>2686</v>
      </c>
      <c r="H520" s="1758" t="s">
        <v>2541</v>
      </c>
      <c r="I520" s="1645" t="s">
        <v>2387</v>
      </c>
      <c r="J520" s="1761" t="s">
        <v>2319</v>
      </c>
      <c r="K520" s="1761" t="s">
        <v>2687</v>
      </c>
      <c r="L520" s="1761" t="s">
        <v>2687</v>
      </c>
      <c r="M520" s="1762">
        <v>73590000</v>
      </c>
      <c r="N520" s="1763" t="s">
        <v>2542</v>
      </c>
      <c r="O520" s="1755"/>
    </row>
    <row r="521" spans="1:15" ht="15">
      <c r="A521" s="1764">
        <v>113</v>
      </c>
      <c r="B521" s="1757">
        <v>13</v>
      </c>
      <c r="C521" s="1758">
        <v>2113001</v>
      </c>
      <c r="D521" s="1758" t="s">
        <v>2637</v>
      </c>
      <c r="E521" s="1759">
        <v>10430</v>
      </c>
      <c r="F521" s="1759">
        <v>6060000</v>
      </c>
      <c r="G521" s="1760" t="s">
        <v>2686</v>
      </c>
      <c r="H521" s="1758" t="s">
        <v>2544</v>
      </c>
      <c r="I521" s="1645" t="s">
        <v>2387</v>
      </c>
      <c r="J521" s="1761" t="s">
        <v>2319</v>
      </c>
      <c r="K521" s="1761" t="s">
        <v>2687</v>
      </c>
      <c r="L521" s="1761" t="s">
        <v>2687</v>
      </c>
      <c r="M521" s="1762">
        <v>55890000</v>
      </c>
      <c r="N521" s="1763" t="s">
        <v>2545</v>
      </c>
      <c r="O521" s="1755"/>
    </row>
    <row r="522" spans="1:15" ht="15">
      <c r="A522" s="1764" t="s">
        <v>2546</v>
      </c>
      <c r="B522" s="1757">
        <v>13</v>
      </c>
      <c r="C522" s="1758" t="s">
        <v>2547</v>
      </c>
      <c r="D522" s="1758" t="s">
        <v>2637</v>
      </c>
      <c r="E522" s="1759">
        <v>10430</v>
      </c>
      <c r="F522" s="1759">
        <v>6060000</v>
      </c>
      <c r="G522" s="1760" t="s">
        <v>2686</v>
      </c>
      <c r="H522" s="1758" t="s">
        <v>2548</v>
      </c>
      <c r="I522" s="1645" t="s">
        <v>2387</v>
      </c>
      <c r="J522" s="1761" t="s">
        <v>2319</v>
      </c>
      <c r="K522" s="1761" t="s">
        <v>2687</v>
      </c>
      <c r="L522" s="1761" t="s">
        <v>2687</v>
      </c>
      <c r="M522" s="1762">
        <v>22990000</v>
      </c>
      <c r="N522" s="1763" t="s">
        <v>2549</v>
      </c>
      <c r="O522" s="1755"/>
    </row>
    <row r="523" spans="1:15" ht="15">
      <c r="A523" s="1764" t="s">
        <v>2550</v>
      </c>
      <c r="B523" s="1757">
        <v>13</v>
      </c>
      <c r="C523" s="1758" t="s">
        <v>2551</v>
      </c>
      <c r="D523" s="1758" t="s">
        <v>2637</v>
      </c>
      <c r="E523" s="1759">
        <v>10430</v>
      </c>
      <c r="F523" s="1759">
        <v>6060000</v>
      </c>
      <c r="G523" s="1760" t="s">
        <v>2686</v>
      </c>
      <c r="H523" s="1758" t="s">
        <v>2552</v>
      </c>
      <c r="I523" s="1645" t="s">
        <v>2387</v>
      </c>
      <c r="J523" s="1761" t="s">
        <v>2319</v>
      </c>
      <c r="K523" s="1761" t="s">
        <v>2687</v>
      </c>
      <c r="L523" s="1761" t="s">
        <v>2687</v>
      </c>
      <c r="M523" s="1762">
        <v>19990000</v>
      </c>
      <c r="N523" s="1763" t="s">
        <v>2553</v>
      </c>
      <c r="O523" s="1755"/>
    </row>
    <row r="524" spans="1:15" ht="15">
      <c r="A524" s="1764" t="s">
        <v>2554</v>
      </c>
      <c r="B524" s="1757">
        <v>13</v>
      </c>
      <c r="C524" s="1758" t="s">
        <v>2555</v>
      </c>
      <c r="D524" s="1758" t="s">
        <v>2637</v>
      </c>
      <c r="E524" s="1759">
        <v>10430</v>
      </c>
      <c r="F524" s="1759">
        <v>6060000</v>
      </c>
      <c r="G524" s="1760" t="s">
        <v>2686</v>
      </c>
      <c r="H524" s="1758" t="s">
        <v>2556</v>
      </c>
      <c r="I524" s="1645" t="s">
        <v>2387</v>
      </c>
      <c r="J524" s="1761" t="s">
        <v>2319</v>
      </c>
      <c r="K524" s="1761" t="s">
        <v>2687</v>
      </c>
      <c r="L524" s="1761" t="s">
        <v>2687</v>
      </c>
      <c r="M524" s="1762">
        <v>11140000</v>
      </c>
      <c r="N524" s="1763" t="s">
        <v>2557</v>
      </c>
      <c r="O524" s="1755"/>
    </row>
    <row r="525" spans="1:15" ht="15">
      <c r="A525" s="1764" t="s">
        <v>2558</v>
      </c>
      <c r="B525" s="1757">
        <v>13</v>
      </c>
      <c r="C525" s="1758" t="s">
        <v>2559</v>
      </c>
      <c r="D525" s="1758" t="s">
        <v>2637</v>
      </c>
      <c r="E525" s="1759">
        <v>10430</v>
      </c>
      <c r="F525" s="1759">
        <v>6060000</v>
      </c>
      <c r="G525" s="1760" t="s">
        <v>2686</v>
      </c>
      <c r="H525" s="1758" t="s">
        <v>2560</v>
      </c>
      <c r="I525" s="1645" t="s">
        <v>2387</v>
      </c>
      <c r="J525" s="1761" t="s">
        <v>2319</v>
      </c>
      <c r="K525" s="1761" t="s">
        <v>2687</v>
      </c>
      <c r="L525" s="1761" t="s">
        <v>2687</v>
      </c>
      <c r="M525" s="1762">
        <v>12370000</v>
      </c>
      <c r="N525" s="1763" t="s">
        <v>2561</v>
      </c>
      <c r="O525" s="1755"/>
    </row>
    <row r="526" spans="1:15" ht="15">
      <c r="A526" s="1764" t="s">
        <v>2562</v>
      </c>
      <c r="B526" s="1757">
        <v>13</v>
      </c>
      <c r="C526" s="1758" t="s">
        <v>2563</v>
      </c>
      <c r="D526" s="1758" t="s">
        <v>2637</v>
      </c>
      <c r="E526" s="1759">
        <v>10430</v>
      </c>
      <c r="F526" s="1759">
        <v>6060000</v>
      </c>
      <c r="G526" s="1760" t="s">
        <v>2686</v>
      </c>
      <c r="H526" s="1758" t="s">
        <v>2564</v>
      </c>
      <c r="I526" s="1645" t="s">
        <v>2387</v>
      </c>
      <c r="J526" s="1761" t="s">
        <v>2319</v>
      </c>
      <c r="K526" s="1761" t="s">
        <v>2687</v>
      </c>
      <c r="L526" s="1761" t="s">
        <v>2687</v>
      </c>
      <c r="M526" s="1762">
        <v>10150000</v>
      </c>
      <c r="N526" s="1763" t="s">
        <v>2565</v>
      </c>
      <c r="O526" s="1755"/>
    </row>
    <row r="527" spans="1:15" ht="15">
      <c r="A527" s="1764" t="s">
        <v>2566</v>
      </c>
      <c r="B527" s="1757">
        <v>13</v>
      </c>
      <c r="C527" s="1758" t="s">
        <v>2567</v>
      </c>
      <c r="D527" s="1758" t="s">
        <v>2637</v>
      </c>
      <c r="E527" s="1759">
        <v>10430</v>
      </c>
      <c r="F527" s="1759">
        <v>6060000</v>
      </c>
      <c r="G527" s="1760" t="s">
        <v>2686</v>
      </c>
      <c r="H527" s="1758" t="s">
        <v>2568</v>
      </c>
      <c r="I527" s="1645" t="s">
        <v>2387</v>
      </c>
      <c r="J527" s="1761" t="s">
        <v>2319</v>
      </c>
      <c r="K527" s="1761" t="s">
        <v>2687</v>
      </c>
      <c r="L527" s="1761" t="s">
        <v>2687</v>
      </c>
      <c r="M527" s="1762">
        <v>9100000</v>
      </c>
      <c r="N527" s="1763" t="s">
        <v>2569</v>
      </c>
      <c r="O527" s="1755"/>
    </row>
    <row r="528" spans="1:15" ht="15">
      <c r="A528" s="1764" t="s">
        <v>2570</v>
      </c>
      <c r="B528" s="1757">
        <v>13</v>
      </c>
      <c r="C528" s="1758" t="s">
        <v>2571</v>
      </c>
      <c r="D528" s="1758" t="s">
        <v>2637</v>
      </c>
      <c r="E528" s="1759">
        <v>10430</v>
      </c>
      <c r="F528" s="1759">
        <v>6060000</v>
      </c>
      <c r="G528" s="1760" t="s">
        <v>2686</v>
      </c>
      <c r="H528" s="1758" t="s">
        <v>2572</v>
      </c>
      <c r="I528" s="1645" t="s">
        <v>2387</v>
      </c>
      <c r="J528" s="1761" t="s">
        <v>2319</v>
      </c>
      <c r="K528" s="1761" t="s">
        <v>2687</v>
      </c>
      <c r="L528" s="1761" t="s">
        <v>2687</v>
      </c>
      <c r="M528" s="1762">
        <v>20410000</v>
      </c>
      <c r="N528" s="1763" t="s">
        <v>2573</v>
      </c>
      <c r="O528" s="1755"/>
    </row>
    <row r="529" spans="1:15" ht="15">
      <c r="A529" s="1764" t="s">
        <v>2574</v>
      </c>
      <c r="B529" s="1757">
        <v>13</v>
      </c>
      <c r="C529" s="1758" t="s">
        <v>2575</v>
      </c>
      <c r="D529" s="1758" t="s">
        <v>2637</v>
      </c>
      <c r="E529" s="1759">
        <v>10430</v>
      </c>
      <c r="F529" s="1759">
        <v>6060000</v>
      </c>
      <c r="G529" s="1760" t="s">
        <v>2686</v>
      </c>
      <c r="H529" s="1758" t="s">
        <v>2572</v>
      </c>
      <c r="I529" s="1645" t="s">
        <v>2387</v>
      </c>
      <c r="J529" s="1761" t="s">
        <v>2319</v>
      </c>
      <c r="K529" s="1761" t="s">
        <v>2687</v>
      </c>
      <c r="L529" s="1761" t="s">
        <v>2687</v>
      </c>
      <c r="M529" s="1762">
        <v>11360000</v>
      </c>
      <c r="N529" s="1763" t="s">
        <v>2576</v>
      </c>
      <c r="O529" s="1755"/>
    </row>
    <row r="530" spans="1:15" ht="15">
      <c r="A530" s="1764" t="s">
        <v>2577</v>
      </c>
      <c r="B530" s="1757">
        <v>13</v>
      </c>
      <c r="C530" s="1758" t="s">
        <v>2578</v>
      </c>
      <c r="D530" s="1758" t="s">
        <v>2637</v>
      </c>
      <c r="E530" s="1759">
        <v>10430</v>
      </c>
      <c r="F530" s="1759">
        <v>6060000</v>
      </c>
      <c r="G530" s="1760" t="s">
        <v>2686</v>
      </c>
      <c r="H530" s="1758" t="s">
        <v>2579</v>
      </c>
      <c r="I530" s="1645" t="s">
        <v>2387</v>
      </c>
      <c r="J530" s="1761" t="s">
        <v>2319</v>
      </c>
      <c r="K530" s="1761" t="s">
        <v>2687</v>
      </c>
      <c r="L530" s="1761" t="s">
        <v>2687</v>
      </c>
      <c r="M530" s="1762">
        <v>5370000</v>
      </c>
      <c r="N530" s="1763" t="s">
        <v>2580</v>
      </c>
      <c r="O530" s="1755"/>
    </row>
    <row r="531" spans="1:15" ht="15">
      <c r="A531" s="1764" t="s">
        <v>2581</v>
      </c>
      <c r="B531" s="1757">
        <v>13</v>
      </c>
      <c r="C531" s="1758" t="s">
        <v>2582</v>
      </c>
      <c r="D531" s="1758" t="s">
        <v>2637</v>
      </c>
      <c r="E531" s="1759">
        <v>10430</v>
      </c>
      <c r="F531" s="1759">
        <v>6060000</v>
      </c>
      <c r="G531" s="1760" t="s">
        <v>2686</v>
      </c>
      <c r="H531" s="1758" t="s">
        <v>2579</v>
      </c>
      <c r="I531" s="1645" t="s">
        <v>2387</v>
      </c>
      <c r="J531" s="1761" t="s">
        <v>2319</v>
      </c>
      <c r="K531" s="1761" t="s">
        <v>2687</v>
      </c>
      <c r="L531" s="1761" t="s">
        <v>2687</v>
      </c>
      <c r="M531" s="1762">
        <v>5290000</v>
      </c>
      <c r="N531" s="1763" t="s">
        <v>2583</v>
      </c>
      <c r="O531" s="1755"/>
    </row>
    <row r="532" spans="1:15" ht="15">
      <c r="A532" s="1764" t="s">
        <v>2584</v>
      </c>
      <c r="B532" s="1757">
        <v>13</v>
      </c>
      <c r="C532" s="1758" t="s">
        <v>2585</v>
      </c>
      <c r="D532" s="1758" t="s">
        <v>2637</v>
      </c>
      <c r="E532" s="1759">
        <v>10430</v>
      </c>
      <c r="F532" s="1759">
        <v>6060000</v>
      </c>
      <c r="G532" s="1760" t="s">
        <v>2686</v>
      </c>
      <c r="H532" s="1758" t="s">
        <v>2372</v>
      </c>
      <c r="I532" s="1645" t="s">
        <v>2387</v>
      </c>
      <c r="J532" s="1761" t="s">
        <v>2319</v>
      </c>
      <c r="K532" s="1761" t="s">
        <v>2687</v>
      </c>
      <c r="L532" s="1761" t="s">
        <v>2687</v>
      </c>
      <c r="M532" s="1762">
        <v>27020000</v>
      </c>
      <c r="N532" s="1763" t="s">
        <v>2586</v>
      </c>
      <c r="O532" s="1755"/>
    </row>
    <row r="533" spans="1:15" ht="15">
      <c r="A533" s="1764" t="s">
        <v>2587</v>
      </c>
      <c r="B533" s="1757">
        <v>13</v>
      </c>
      <c r="C533" s="1758" t="s">
        <v>2588</v>
      </c>
      <c r="D533" s="1758" t="s">
        <v>2637</v>
      </c>
      <c r="E533" s="1759">
        <v>10430</v>
      </c>
      <c r="F533" s="1759">
        <v>6060000</v>
      </c>
      <c r="G533" s="1760" t="s">
        <v>2686</v>
      </c>
      <c r="H533" s="1758" t="s">
        <v>2372</v>
      </c>
      <c r="I533" s="1645" t="s">
        <v>2387</v>
      </c>
      <c r="J533" s="1761" t="s">
        <v>2319</v>
      </c>
      <c r="K533" s="1761" t="s">
        <v>2687</v>
      </c>
      <c r="L533" s="1761" t="s">
        <v>2687</v>
      </c>
      <c r="M533" s="1762">
        <v>800000</v>
      </c>
      <c r="N533" s="1763" t="s">
        <v>2589</v>
      </c>
      <c r="O533" s="1755"/>
    </row>
    <row r="534" spans="1:15" ht="15">
      <c r="A534" s="1764" t="s">
        <v>2590</v>
      </c>
      <c r="B534" s="1757">
        <v>13</v>
      </c>
      <c r="C534" s="1758" t="s">
        <v>2591</v>
      </c>
      <c r="D534" s="1758" t="s">
        <v>2637</v>
      </c>
      <c r="E534" s="1759">
        <v>10430</v>
      </c>
      <c r="F534" s="1759">
        <v>6060000</v>
      </c>
      <c r="G534" s="1760" t="s">
        <v>2686</v>
      </c>
      <c r="H534" s="1758" t="s">
        <v>2372</v>
      </c>
      <c r="I534" s="1645" t="s">
        <v>2387</v>
      </c>
      <c r="J534" s="1761" t="s">
        <v>2319</v>
      </c>
      <c r="K534" s="1761" t="s">
        <v>2687</v>
      </c>
      <c r="L534" s="1761" t="s">
        <v>2687</v>
      </c>
      <c r="M534" s="1762">
        <v>1220000</v>
      </c>
      <c r="N534" s="1763" t="s">
        <v>2592</v>
      </c>
      <c r="O534" s="1755"/>
    </row>
    <row r="535" spans="1:15" ht="15">
      <c r="A535" s="1764" t="s">
        <v>2593</v>
      </c>
      <c r="B535" s="1757">
        <v>13</v>
      </c>
      <c r="C535" s="1758" t="s">
        <v>2594</v>
      </c>
      <c r="D535" s="1758" t="s">
        <v>2637</v>
      </c>
      <c r="E535" s="1759">
        <v>10430</v>
      </c>
      <c r="F535" s="1759">
        <v>6060000</v>
      </c>
      <c r="G535" s="1760" t="s">
        <v>2686</v>
      </c>
      <c r="H535" s="1758" t="s">
        <v>2595</v>
      </c>
      <c r="I535" s="1645" t="s">
        <v>2387</v>
      </c>
      <c r="J535" s="1761" t="s">
        <v>2319</v>
      </c>
      <c r="K535" s="1761" t="s">
        <v>2687</v>
      </c>
      <c r="L535" s="1761" t="s">
        <v>2687</v>
      </c>
      <c r="M535" s="1762">
        <v>4760000</v>
      </c>
      <c r="N535" s="1763" t="s">
        <v>2596</v>
      </c>
      <c r="O535" s="1755"/>
    </row>
    <row r="536" spans="1:15" ht="15">
      <c r="A536" s="1764" t="s">
        <v>2597</v>
      </c>
      <c r="B536" s="1757">
        <v>13</v>
      </c>
      <c r="C536" s="1758" t="s">
        <v>2598</v>
      </c>
      <c r="D536" s="1758" t="s">
        <v>2637</v>
      </c>
      <c r="E536" s="1759">
        <v>10430</v>
      </c>
      <c r="F536" s="1759">
        <v>6060000</v>
      </c>
      <c r="G536" s="1760" t="s">
        <v>2686</v>
      </c>
      <c r="H536" s="1758" t="s">
        <v>2595</v>
      </c>
      <c r="I536" s="1645" t="s">
        <v>2387</v>
      </c>
      <c r="J536" s="1761" t="s">
        <v>2319</v>
      </c>
      <c r="K536" s="1761" t="s">
        <v>2687</v>
      </c>
      <c r="L536" s="1761" t="s">
        <v>2687</v>
      </c>
      <c r="M536" s="1762">
        <v>3030000</v>
      </c>
      <c r="N536" s="1763" t="s">
        <v>2599</v>
      </c>
      <c r="O536" s="1755"/>
    </row>
    <row r="537" spans="1:15" ht="15">
      <c r="A537" s="1764" t="s">
        <v>2600</v>
      </c>
      <c r="B537" s="1757">
        <v>13</v>
      </c>
      <c r="C537" s="1758" t="s">
        <v>2601</v>
      </c>
      <c r="D537" s="1758" t="s">
        <v>2637</v>
      </c>
      <c r="E537" s="1759">
        <v>10430</v>
      </c>
      <c r="F537" s="1759">
        <v>6060000</v>
      </c>
      <c r="G537" s="1760" t="s">
        <v>2686</v>
      </c>
      <c r="H537" s="1758" t="s">
        <v>2336</v>
      </c>
      <c r="I537" s="1645" t="s">
        <v>2387</v>
      </c>
      <c r="J537" s="1761" t="s">
        <v>2319</v>
      </c>
      <c r="K537" s="1761" t="s">
        <v>2687</v>
      </c>
      <c r="L537" s="1761" t="s">
        <v>2687</v>
      </c>
      <c r="M537" s="1762">
        <v>7520000</v>
      </c>
      <c r="N537" s="1763" t="s">
        <v>2602</v>
      </c>
      <c r="O537" s="1755"/>
    </row>
    <row r="538" spans="1:15" ht="15">
      <c r="A538" s="1764" t="s">
        <v>2603</v>
      </c>
      <c r="B538" s="1757">
        <v>13</v>
      </c>
      <c r="C538" s="1758" t="s">
        <v>2604</v>
      </c>
      <c r="D538" s="1758" t="s">
        <v>2637</v>
      </c>
      <c r="E538" s="1759">
        <v>10430</v>
      </c>
      <c r="F538" s="1759">
        <v>6060000</v>
      </c>
      <c r="G538" s="1760" t="s">
        <v>2686</v>
      </c>
      <c r="H538" s="1758" t="s">
        <v>2336</v>
      </c>
      <c r="I538" s="1645" t="s">
        <v>2387</v>
      </c>
      <c r="J538" s="1761" t="s">
        <v>2319</v>
      </c>
      <c r="K538" s="1761" t="s">
        <v>2687</v>
      </c>
      <c r="L538" s="1761" t="s">
        <v>2687</v>
      </c>
      <c r="M538" s="1762">
        <v>4680000</v>
      </c>
      <c r="N538" s="1763" t="s">
        <v>2605</v>
      </c>
      <c r="O538" s="1755"/>
    </row>
    <row r="539" spans="1:15" ht="15">
      <c r="A539" s="1764" t="s">
        <v>2606</v>
      </c>
      <c r="B539" s="1757">
        <v>13</v>
      </c>
      <c r="C539" s="1758" t="s">
        <v>2607</v>
      </c>
      <c r="D539" s="1758" t="s">
        <v>2637</v>
      </c>
      <c r="E539" s="1759">
        <v>10430</v>
      </c>
      <c r="F539" s="1759">
        <v>6060000</v>
      </c>
      <c r="G539" s="1760" t="s">
        <v>2686</v>
      </c>
      <c r="H539" s="1758" t="s">
        <v>2336</v>
      </c>
      <c r="I539" s="1645" t="s">
        <v>2387</v>
      </c>
      <c r="J539" s="1761" t="s">
        <v>2319</v>
      </c>
      <c r="K539" s="1761" t="s">
        <v>2687</v>
      </c>
      <c r="L539" s="1761" t="s">
        <v>2687</v>
      </c>
      <c r="M539" s="1762">
        <v>740000</v>
      </c>
      <c r="N539" s="1763" t="s">
        <v>2608</v>
      </c>
      <c r="O539" s="1755"/>
    </row>
    <row r="540" spans="1:15" ht="15">
      <c r="A540" s="1764" t="s">
        <v>2609</v>
      </c>
      <c r="B540" s="1757">
        <v>13</v>
      </c>
      <c r="C540" s="1758" t="s">
        <v>2610</v>
      </c>
      <c r="D540" s="1758" t="s">
        <v>2637</v>
      </c>
      <c r="E540" s="1759">
        <v>10430</v>
      </c>
      <c r="F540" s="1759">
        <v>6060000</v>
      </c>
      <c r="G540" s="1760" t="s">
        <v>2686</v>
      </c>
      <c r="H540" s="1758" t="s">
        <v>2611</v>
      </c>
      <c r="I540" s="1645" t="s">
        <v>2387</v>
      </c>
      <c r="J540" s="1761" t="s">
        <v>2319</v>
      </c>
      <c r="K540" s="1761" t="s">
        <v>2687</v>
      </c>
      <c r="L540" s="1761" t="s">
        <v>2687</v>
      </c>
      <c r="M540" s="1762">
        <v>2310000</v>
      </c>
      <c r="N540" s="1763" t="s">
        <v>2612</v>
      </c>
      <c r="O540" s="1755"/>
    </row>
    <row r="541" spans="1:15" ht="15">
      <c r="A541" s="1764" t="s">
        <v>2613</v>
      </c>
      <c r="B541" s="1757">
        <v>13</v>
      </c>
      <c r="C541" s="1758" t="s">
        <v>2614</v>
      </c>
      <c r="D541" s="1758" t="s">
        <v>2637</v>
      </c>
      <c r="E541" s="1759">
        <v>10430</v>
      </c>
      <c r="F541" s="1759">
        <v>6060000</v>
      </c>
      <c r="G541" s="1760" t="s">
        <v>2686</v>
      </c>
      <c r="H541" s="1758" t="s">
        <v>2611</v>
      </c>
      <c r="I541" s="1645" t="s">
        <v>2387</v>
      </c>
      <c r="J541" s="1761" t="s">
        <v>2319</v>
      </c>
      <c r="K541" s="1761" t="s">
        <v>2687</v>
      </c>
      <c r="L541" s="1761" t="s">
        <v>2687</v>
      </c>
      <c r="M541" s="1762">
        <v>810000</v>
      </c>
      <c r="N541" s="1763" t="s">
        <v>2615</v>
      </c>
      <c r="O541" s="1755"/>
    </row>
    <row r="542" spans="1:15" ht="15">
      <c r="A542" s="1756" t="s">
        <v>2616</v>
      </c>
      <c r="B542" s="1757">
        <v>13</v>
      </c>
      <c r="C542" s="1645" t="s">
        <v>2617</v>
      </c>
      <c r="D542" s="1758" t="s">
        <v>2637</v>
      </c>
      <c r="E542" s="1759">
        <v>10430</v>
      </c>
      <c r="F542" s="1759">
        <v>6060000</v>
      </c>
      <c r="G542" s="1760" t="s">
        <v>2686</v>
      </c>
      <c r="H542" s="1645" t="s">
        <v>2618</v>
      </c>
      <c r="I542" s="1645" t="s">
        <v>2387</v>
      </c>
      <c r="J542" s="1761" t="s">
        <v>2319</v>
      </c>
      <c r="K542" s="1761" t="s">
        <v>2687</v>
      </c>
      <c r="L542" s="1761" t="s">
        <v>2687</v>
      </c>
      <c r="M542" s="1762">
        <v>330000</v>
      </c>
      <c r="N542" s="1766" t="s">
        <v>2619</v>
      </c>
      <c r="O542" s="1755"/>
    </row>
    <row r="543" spans="1:15" ht="15">
      <c r="A543" s="1764" t="s">
        <v>2620</v>
      </c>
      <c r="B543" s="1757">
        <v>13</v>
      </c>
      <c r="C543" s="1758" t="s">
        <v>2621</v>
      </c>
      <c r="D543" s="1758" t="s">
        <v>2637</v>
      </c>
      <c r="E543" s="1759">
        <v>10430</v>
      </c>
      <c r="F543" s="1759">
        <v>6060000</v>
      </c>
      <c r="G543" s="1760" t="s">
        <v>2686</v>
      </c>
      <c r="H543" s="1758" t="s">
        <v>2618</v>
      </c>
      <c r="I543" s="1645" t="s">
        <v>2387</v>
      </c>
      <c r="J543" s="1761" t="s">
        <v>2319</v>
      </c>
      <c r="K543" s="1761" t="s">
        <v>2687</v>
      </c>
      <c r="L543" s="1761" t="s">
        <v>2687</v>
      </c>
      <c r="M543" s="1762">
        <v>1460000</v>
      </c>
      <c r="N543" s="1763" t="s">
        <v>2622</v>
      </c>
      <c r="O543" s="1755"/>
    </row>
    <row r="544" spans="1:15" ht="15">
      <c r="A544" s="1764" t="s">
        <v>2417</v>
      </c>
      <c r="B544" s="1757">
        <v>13</v>
      </c>
      <c r="C544" s="1758" t="s">
        <v>2418</v>
      </c>
      <c r="D544" s="1758" t="s">
        <v>2637</v>
      </c>
      <c r="E544" s="1759">
        <v>10430</v>
      </c>
      <c r="F544" s="1759">
        <v>6060000</v>
      </c>
      <c r="G544" s="1760" t="s">
        <v>2686</v>
      </c>
      <c r="H544" s="1758" t="s">
        <v>2361</v>
      </c>
      <c r="I544" s="1645" t="s">
        <v>2388</v>
      </c>
      <c r="J544" s="1761" t="s">
        <v>2319</v>
      </c>
      <c r="K544" s="1761" t="s">
        <v>2687</v>
      </c>
      <c r="L544" s="1761" t="s">
        <v>2687</v>
      </c>
      <c r="M544" s="1762">
        <v>60570000</v>
      </c>
      <c r="N544" s="1763" t="s">
        <v>2419</v>
      </c>
      <c r="O544" s="1755"/>
    </row>
    <row r="545" spans="1:15" ht="15">
      <c r="A545" s="1764" t="s">
        <v>2420</v>
      </c>
      <c r="B545" s="1757">
        <v>13</v>
      </c>
      <c r="C545" s="1758" t="s">
        <v>2421</v>
      </c>
      <c r="D545" s="1758" t="s">
        <v>2637</v>
      </c>
      <c r="E545" s="1759">
        <v>10430</v>
      </c>
      <c r="F545" s="1759">
        <v>6060000</v>
      </c>
      <c r="G545" s="1760" t="s">
        <v>2686</v>
      </c>
      <c r="H545" s="1758" t="s">
        <v>2361</v>
      </c>
      <c r="I545" s="1645" t="s">
        <v>2388</v>
      </c>
      <c r="J545" s="1761" t="s">
        <v>2319</v>
      </c>
      <c r="K545" s="1761" t="s">
        <v>2687</v>
      </c>
      <c r="L545" s="1761" t="s">
        <v>2687</v>
      </c>
      <c r="M545" s="1762">
        <v>23440000</v>
      </c>
      <c r="N545" s="1763" t="s">
        <v>2422</v>
      </c>
      <c r="O545" s="1755"/>
    </row>
    <row r="546" spans="1:15" ht="15">
      <c r="A546" s="1764" t="s">
        <v>2423</v>
      </c>
      <c r="B546" s="1757">
        <v>13</v>
      </c>
      <c r="C546" s="1758" t="s">
        <v>2424</v>
      </c>
      <c r="D546" s="1758" t="s">
        <v>2637</v>
      </c>
      <c r="E546" s="1759">
        <v>10430</v>
      </c>
      <c r="F546" s="1759">
        <v>6060000</v>
      </c>
      <c r="G546" s="1760" t="s">
        <v>2686</v>
      </c>
      <c r="H546" s="1758" t="s">
        <v>2425</v>
      </c>
      <c r="I546" s="1645" t="s">
        <v>2388</v>
      </c>
      <c r="J546" s="1761" t="s">
        <v>2319</v>
      </c>
      <c r="K546" s="1761" t="s">
        <v>2687</v>
      </c>
      <c r="L546" s="1761" t="s">
        <v>2687</v>
      </c>
      <c r="M546" s="1762">
        <v>32230000</v>
      </c>
      <c r="N546" s="1763" t="s">
        <v>2426</v>
      </c>
      <c r="O546" s="1755"/>
    </row>
    <row r="547" spans="1:15" ht="15">
      <c r="A547" s="1764" t="s">
        <v>2427</v>
      </c>
      <c r="B547" s="1757">
        <v>13</v>
      </c>
      <c r="C547" s="1758" t="s">
        <v>2428</v>
      </c>
      <c r="D547" s="1758" t="s">
        <v>2637</v>
      </c>
      <c r="E547" s="1759">
        <v>10430</v>
      </c>
      <c r="F547" s="1759">
        <v>6060000</v>
      </c>
      <c r="G547" s="1760" t="s">
        <v>2686</v>
      </c>
      <c r="H547" s="1758" t="s">
        <v>2333</v>
      </c>
      <c r="I547" s="1645" t="s">
        <v>2388</v>
      </c>
      <c r="J547" s="1761" t="s">
        <v>2319</v>
      </c>
      <c r="K547" s="1761" t="s">
        <v>2687</v>
      </c>
      <c r="L547" s="1761" t="s">
        <v>2687</v>
      </c>
      <c r="M547" s="1762">
        <v>15100000</v>
      </c>
      <c r="N547" s="1763" t="s">
        <v>2429</v>
      </c>
      <c r="O547" s="1755"/>
    </row>
    <row r="548" spans="1:15" ht="15">
      <c r="A548" s="1764" t="s">
        <v>2331</v>
      </c>
      <c r="B548" s="1757">
        <v>13</v>
      </c>
      <c r="C548" s="1758" t="s">
        <v>2430</v>
      </c>
      <c r="D548" s="1758" t="s">
        <v>2637</v>
      </c>
      <c r="E548" s="1759">
        <v>10430</v>
      </c>
      <c r="F548" s="1759">
        <v>6060000</v>
      </c>
      <c r="G548" s="1760" t="s">
        <v>2686</v>
      </c>
      <c r="H548" s="1758" t="s">
        <v>2333</v>
      </c>
      <c r="I548" s="1645" t="s">
        <v>2388</v>
      </c>
      <c r="J548" s="1761" t="s">
        <v>2319</v>
      </c>
      <c r="K548" s="1761" t="s">
        <v>2687</v>
      </c>
      <c r="L548" s="1761" t="s">
        <v>2687</v>
      </c>
      <c r="M548" s="1762">
        <v>12980000</v>
      </c>
      <c r="N548" s="1763" t="s">
        <v>2431</v>
      </c>
      <c r="O548" s="1755"/>
    </row>
    <row r="549" spans="1:15" ht="15">
      <c r="A549" s="1764">
        <v>106</v>
      </c>
      <c r="B549" s="1757">
        <v>13</v>
      </c>
      <c r="C549" s="1758">
        <v>2106001</v>
      </c>
      <c r="D549" s="1758" t="s">
        <v>2637</v>
      </c>
      <c r="E549" s="1759">
        <v>10430</v>
      </c>
      <c r="F549" s="1759">
        <v>6060000</v>
      </c>
      <c r="G549" s="1760" t="s">
        <v>2686</v>
      </c>
      <c r="H549" s="1758" t="s">
        <v>2392</v>
      </c>
      <c r="I549" s="1645" t="s">
        <v>2388</v>
      </c>
      <c r="J549" s="1761" t="s">
        <v>2319</v>
      </c>
      <c r="K549" s="1761" t="s">
        <v>2687</v>
      </c>
      <c r="L549" s="1761" t="s">
        <v>2687</v>
      </c>
      <c r="M549" s="1762">
        <v>65740000</v>
      </c>
      <c r="N549" s="1763" t="s">
        <v>2432</v>
      </c>
      <c r="O549" s="1755"/>
    </row>
    <row r="550" spans="1:15" ht="15">
      <c r="A550" s="1764" t="s">
        <v>2433</v>
      </c>
      <c r="B550" s="1757">
        <v>13</v>
      </c>
      <c r="C550" s="1758" t="s">
        <v>2434</v>
      </c>
      <c r="D550" s="1758" t="s">
        <v>2637</v>
      </c>
      <c r="E550" s="1759">
        <v>10430</v>
      </c>
      <c r="F550" s="1759">
        <v>6060000</v>
      </c>
      <c r="G550" s="1760" t="s">
        <v>2686</v>
      </c>
      <c r="H550" s="1758" t="s">
        <v>2435</v>
      </c>
      <c r="I550" s="1645" t="s">
        <v>2388</v>
      </c>
      <c r="J550" s="1761" t="s">
        <v>2319</v>
      </c>
      <c r="K550" s="1761" t="s">
        <v>2687</v>
      </c>
      <c r="L550" s="1761" t="s">
        <v>2687</v>
      </c>
      <c r="M550" s="1762">
        <v>27380000</v>
      </c>
      <c r="N550" s="1763" t="s">
        <v>2436</v>
      </c>
      <c r="O550" s="1755"/>
    </row>
    <row r="551" spans="1:15" ht="15">
      <c r="A551" s="1764" t="s">
        <v>2437</v>
      </c>
      <c r="B551" s="1757">
        <v>13</v>
      </c>
      <c r="C551" s="1758" t="s">
        <v>2438</v>
      </c>
      <c r="D551" s="1758" t="s">
        <v>2637</v>
      </c>
      <c r="E551" s="1759">
        <v>10430</v>
      </c>
      <c r="F551" s="1759">
        <v>6060000</v>
      </c>
      <c r="G551" s="1760" t="s">
        <v>2686</v>
      </c>
      <c r="H551" s="1765" t="s">
        <v>2439</v>
      </c>
      <c r="I551" s="1645" t="s">
        <v>2388</v>
      </c>
      <c r="J551" s="1761" t="s">
        <v>2319</v>
      </c>
      <c r="K551" s="1761" t="s">
        <v>2687</v>
      </c>
      <c r="L551" s="1761" t="s">
        <v>2687</v>
      </c>
      <c r="M551" s="1762">
        <v>28750000</v>
      </c>
      <c r="N551" s="1763" t="s">
        <v>2440</v>
      </c>
      <c r="O551" s="1755"/>
    </row>
    <row r="552" spans="1:15" ht="15">
      <c r="A552" s="1764" t="s">
        <v>2441</v>
      </c>
      <c r="B552" s="1757">
        <v>13</v>
      </c>
      <c r="C552" s="1758" t="s">
        <v>2442</v>
      </c>
      <c r="D552" s="1758" t="s">
        <v>2637</v>
      </c>
      <c r="E552" s="1759">
        <v>10430</v>
      </c>
      <c r="F552" s="1759">
        <v>6060000</v>
      </c>
      <c r="G552" s="1760" t="s">
        <v>2686</v>
      </c>
      <c r="H552" s="1765" t="s">
        <v>2439</v>
      </c>
      <c r="I552" s="1645" t="s">
        <v>2388</v>
      </c>
      <c r="J552" s="1761" t="s">
        <v>2319</v>
      </c>
      <c r="K552" s="1761" t="s">
        <v>2687</v>
      </c>
      <c r="L552" s="1761" t="s">
        <v>2687</v>
      </c>
      <c r="M552" s="1762">
        <v>24340000</v>
      </c>
      <c r="N552" s="1763" t="s">
        <v>2443</v>
      </c>
      <c r="O552" s="1755"/>
    </row>
    <row r="553" spans="1:15" ht="15">
      <c r="A553" s="1764" t="s">
        <v>2444</v>
      </c>
      <c r="B553" s="1757">
        <v>13</v>
      </c>
      <c r="C553" s="1758" t="s">
        <v>2445</v>
      </c>
      <c r="D553" s="1758" t="s">
        <v>2637</v>
      </c>
      <c r="E553" s="1759">
        <v>10430</v>
      </c>
      <c r="F553" s="1759">
        <v>6060000</v>
      </c>
      <c r="G553" s="1760" t="s">
        <v>2686</v>
      </c>
      <c r="H553" s="1758" t="s">
        <v>2349</v>
      </c>
      <c r="I553" s="1645" t="s">
        <v>2388</v>
      </c>
      <c r="J553" s="1761" t="s">
        <v>2319</v>
      </c>
      <c r="K553" s="1761" t="s">
        <v>2687</v>
      </c>
      <c r="L553" s="1761" t="s">
        <v>2687</v>
      </c>
      <c r="M553" s="1762">
        <v>160100000</v>
      </c>
      <c r="N553" s="1763" t="s">
        <v>2446</v>
      </c>
      <c r="O553" s="1755"/>
    </row>
    <row r="554" spans="1:15" ht="15">
      <c r="A554" s="1764" t="s">
        <v>2447</v>
      </c>
      <c r="B554" s="1757">
        <v>13</v>
      </c>
      <c r="C554" s="1758" t="s">
        <v>2448</v>
      </c>
      <c r="D554" s="1758" t="s">
        <v>2637</v>
      </c>
      <c r="E554" s="1759">
        <v>10430</v>
      </c>
      <c r="F554" s="1759">
        <v>6060000</v>
      </c>
      <c r="G554" s="1760" t="s">
        <v>2686</v>
      </c>
      <c r="H554" s="1758" t="s">
        <v>2349</v>
      </c>
      <c r="I554" s="1645" t="s">
        <v>2388</v>
      </c>
      <c r="J554" s="1761" t="s">
        <v>2319</v>
      </c>
      <c r="K554" s="1761" t="s">
        <v>2687</v>
      </c>
      <c r="L554" s="1761" t="s">
        <v>2687</v>
      </c>
      <c r="M554" s="1762">
        <v>27990000</v>
      </c>
      <c r="N554" s="1763" t="s">
        <v>2449</v>
      </c>
      <c r="O554" s="1755"/>
    </row>
    <row r="555" spans="1:15" ht="15">
      <c r="A555" s="1764" t="s">
        <v>2450</v>
      </c>
      <c r="B555" s="1757">
        <v>13</v>
      </c>
      <c r="C555" s="1758" t="s">
        <v>2451</v>
      </c>
      <c r="D555" s="1758" t="s">
        <v>2637</v>
      </c>
      <c r="E555" s="1759">
        <v>10430</v>
      </c>
      <c r="F555" s="1759">
        <v>6060000</v>
      </c>
      <c r="G555" s="1760" t="s">
        <v>2686</v>
      </c>
      <c r="H555" s="1758" t="s">
        <v>2452</v>
      </c>
      <c r="I555" s="1645" t="s">
        <v>2388</v>
      </c>
      <c r="J555" s="1761" t="s">
        <v>2319</v>
      </c>
      <c r="K555" s="1761" t="s">
        <v>2687</v>
      </c>
      <c r="L555" s="1761" t="s">
        <v>2687</v>
      </c>
      <c r="M555" s="1762">
        <v>59620000</v>
      </c>
      <c r="N555" s="1763" t="s">
        <v>2453</v>
      </c>
      <c r="O555" s="1755"/>
    </row>
    <row r="556" spans="1:15" ht="15">
      <c r="A556" s="1764" t="s">
        <v>2454</v>
      </c>
      <c r="B556" s="1757">
        <v>13</v>
      </c>
      <c r="C556" s="1758" t="s">
        <v>2455</v>
      </c>
      <c r="D556" s="1758" t="s">
        <v>2637</v>
      </c>
      <c r="E556" s="1759">
        <v>10430</v>
      </c>
      <c r="F556" s="1759">
        <v>6060000</v>
      </c>
      <c r="G556" s="1760" t="s">
        <v>2686</v>
      </c>
      <c r="H556" s="1758" t="s">
        <v>2397</v>
      </c>
      <c r="I556" s="1645" t="s">
        <v>2388</v>
      </c>
      <c r="J556" s="1761" t="s">
        <v>2319</v>
      </c>
      <c r="K556" s="1761" t="s">
        <v>2687</v>
      </c>
      <c r="L556" s="1761" t="s">
        <v>2687</v>
      </c>
      <c r="M556" s="1762">
        <v>206930000</v>
      </c>
      <c r="N556" s="1763" t="s">
        <v>2456</v>
      </c>
      <c r="O556" s="1755"/>
    </row>
    <row r="557" spans="1:15" ht="15">
      <c r="A557" s="1764" t="s">
        <v>2457</v>
      </c>
      <c r="B557" s="1757">
        <v>13</v>
      </c>
      <c r="C557" s="1758" t="s">
        <v>2458</v>
      </c>
      <c r="D557" s="1758" t="s">
        <v>2637</v>
      </c>
      <c r="E557" s="1759">
        <v>10430</v>
      </c>
      <c r="F557" s="1759">
        <v>6060000</v>
      </c>
      <c r="G557" s="1760" t="s">
        <v>2686</v>
      </c>
      <c r="H557" s="1758" t="s">
        <v>2397</v>
      </c>
      <c r="I557" s="1645" t="s">
        <v>2388</v>
      </c>
      <c r="J557" s="1761" t="s">
        <v>2319</v>
      </c>
      <c r="K557" s="1761" t="s">
        <v>2687</v>
      </c>
      <c r="L557" s="1761" t="s">
        <v>2687</v>
      </c>
      <c r="M557" s="1762">
        <v>37650000</v>
      </c>
      <c r="N557" s="1763" t="s">
        <v>2459</v>
      </c>
      <c r="O557" s="1755"/>
    </row>
    <row r="558" spans="1:15" ht="15">
      <c r="A558" s="1764" t="s">
        <v>2460</v>
      </c>
      <c r="B558" s="1757">
        <v>13</v>
      </c>
      <c r="C558" s="1758" t="s">
        <v>2461</v>
      </c>
      <c r="D558" s="1758" t="s">
        <v>2637</v>
      </c>
      <c r="E558" s="1759">
        <v>10430</v>
      </c>
      <c r="F558" s="1759">
        <v>6060000</v>
      </c>
      <c r="G558" s="1760" t="s">
        <v>2686</v>
      </c>
      <c r="H558" s="1758" t="s">
        <v>2397</v>
      </c>
      <c r="I558" s="1645" t="s">
        <v>2388</v>
      </c>
      <c r="J558" s="1761" t="s">
        <v>2319</v>
      </c>
      <c r="K558" s="1761" t="s">
        <v>2687</v>
      </c>
      <c r="L558" s="1761" t="s">
        <v>2687</v>
      </c>
      <c r="M558" s="1762">
        <v>25430000</v>
      </c>
      <c r="N558" s="1763" t="s">
        <v>2462</v>
      </c>
      <c r="O558" s="1755"/>
    </row>
    <row r="559" spans="1:15" ht="15">
      <c r="A559" s="1764" t="s">
        <v>2463</v>
      </c>
      <c r="B559" s="1757">
        <v>13</v>
      </c>
      <c r="C559" s="1758" t="s">
        <v>2464</v>
      </c>
      <c r="D559" s="1758" t="s">
        <v>2637</v>
      </c>
      <c r="E559" s="1759">
        <v>10430</v>
      </c>
      <c r="F559" s="1759">
        <v>6060000</v>
      </c>
      <c r="G559" s="1760" t="s">
        <v>2686</v>
      </c>
      <c r="H559" s="1758" t="s">
        <v>2465</v>
      </c>
      <c r="I559" s="1645" t="s">
        <v>2388</v>
      </c>
      <c r="J559" s="1761" t="s">
        <v>2319</v>
      </c>
      <c r="K559" s="1761" t="s">
        <v>2687</v>
      </c>
      <c r="L559" s="1761" t="s">
        <v>2687</v>
      </c>
      <c r="M559" s="1762">
        <v>33900000</v>
      </c>
      <c r="N559" s="1763" t="s">
        <v>2466</v>
      </c>
      <c r="O559" s="1755"/>
    </row>
    <row r="560" spans="1:15" ht="15">
      <c r="A560" s="1764" t="s">
        <v>2467</v>
      </c>
      <c r="B560" s="1757">
        <v>13</v>
      </c>
      <c r="C560" s="1758" t="s">
        <v>2468</v>
      </c>
      <c r="D560" s="1758" t="s">
        <v>2637</v>
      </c>
      <c r="E560" s="1759">
        <v>10430</v>
      </c>
      <c r="F560" s="1759">
        <v>6060000</v>
      </c>
      <c r="G560" s="1760" t="s">
        <v>2686</v>
      </c>
      <c r="H560" s="1758" t="s">
        <v>2469</v>
      </c>
      <c r="I560" s="1645" t="s">
        <v>2388</v>
      </c>
      <c r="J560" s="1761" t="s">
        <v>2319</v>
      </c>
      <c r="K560" s="1761" t="s">
        <v>2687</v>
      </c>
      <c r="L560" s="1761" t="s">
        <v>2687</v>
      </c>
      <c r="M560" s="1762">
        <v>41370000</v>
      </c>
      <c r="N560" s="1763" t="s">
        <v>2470</v>
      </c>
      <c r="O560" s="1755"/>
    </row>
    <row r="561" spans="1:15" ht="15">
      <c r="A561" s="1764" t="s">
        <v>2471</v>
      </c>
      <c r="B561" s="1757">
        <v>13</v>
      </c>
      <c r="C561" s="1758" t="s">
        <v>2472</v>
      </c>
      <c r="D561" s="1758" t="s">
        <v>2637</v>
      </c>
      <c r="E561" s="1759">
        <v>10430</v>
      </c>
      <c r="F561" s="1759">
        <v>6060000</v>
      </c>
      <c r="G561" s="1760" t="s">
        <v>2686</v>
      </c>
      <c r="H561" s="1758" t="s">
        <v>2473</v>
      </c>
      <c r="I561" s="1645" t="s">
        <v>2388</v>
      </c>
      <c r="J561" s="1761" t="s">
        <v>2319</v>
      </c>
      <c r="K561" s="1761" t="s">
        <v>2687</v>
      </c>
      <c r="L561" s="1761" t="s">
        <v>2687</v>
      </c>
      <c r="M561" s="1762">
        <v>47240000</v>
      </c>
      <c r="N561" s="1763" t="s">
        <v>2474</v>
      </c>
      <c r="O561" s="1755"/>
    </row>
    <row r="562" spans="1:15" ht="15">
      <c r="A562" s="1764" t="s">
        <v>2475</v>
      </c>
      <c r="B562" s="1757">
        <v>13</v>
      </c>
      <c r="C562" s="1758" t="s">
        <v>2476</v>
      </c>
      <c r="D562" s="1758" t="s">
        <v>2637</v>
      </c>
      <c r="E562" s="1759">
        <v>10430</v>
      </c>
      <c r="F562" s="1759">
        <v>6060000</v>
      </c>
      <c r="G562" s="1760" t="s">
        <v>2686</v>
      </c>
      <c r="H562" s="1758" t="s">
        <v>2473</v>
      </c>
      <c r="I562" s="1645" t="s">
        <v>2388</v>
      </c>
      <c r="J562" s="1761" t="s">
        <v>2319</v>
      </c>
      <c r="K562" s="1761" t="s">
        <v>2687</v>
      </c>
      <c r="L562" s="1761" t="s">
        <v>2687</v>
      </c>
      <c r="M562" s="1762">
        <f>33870000+1550000</f>
        <v>35420000</v>
      </c>
      <c r="N562" s="1763" t="s">
        <v>2477</v>
      </c>
      <c r="O562" s="1755"/>
    </row>
    <row r="563" spans="1:15" ht="15">
      <c r="A563" s="1764" t="s">
        <v>2478</v>
      </c>
      <c r="B563" s="1757">
        <v>13</v>
      </c>
      <c r="C563" s="1758" t="s">
        <v>2479</v>
      </c>
      <c r="D563" s="1758" t="s">
        <v>2637</v>
      </c>
      <c r="E563" s="1759">
        <v>10430</v>
      </c>
      <c r="F563" s="1759">
        <v>6060000</v>
      </c>
      <c r="G563" s="1760" t="s">
        <v>2686</v>
      </c>
      <c r="H563" s="1758" t="s">
        <v>2325</v>
      </c>
      <c r="I563" s="1645" t="s">
        <v>2388</v>
      </c>
      <c r="J563" s="1761" t="s">
        <v>2319</v>
      </c>
      <c r="K563" s="1761" t="s">
        <v>2687</v>
      </c>
      <c r="L563" s="1761" t="s">
        <v>2687</v>
      </c>
      <c r="M563" s="1762">
        <v>124200000</v>
      </c>
      <c r="N563" s="1763" t="s">
        <v>2480</v>
      </c>
      <c r="O563" s="1755"/>
    </row>
    <row r="564" spans="1:15" ht="15">
      <c r="A564" s="1764" t="s">
        <v>2481</v>
      </c>
      <c r="B564" s="1757">
        <v>13</v>
      </c>
      <c r="C564" s="1758" t="s">
        <v>2482</v>
      </c>
      <c r="D564" s="1758" t="s">
        <v>2637</v>
      </c>
      <c r="E564" s="1759">
        <v>10430</v>
      </c>
      <c r="F564" s="1759">
        <v>6060000</v>
      </c>
      <c r="G564" s="1760" t="s">
        <v>2686</v>
      </c>
      <c r="H564" s="1758" t="s">
        <v>2325</v>
      </c>
      <c r="I564" s="1645" t="s">
        <v>2388</v>
      </c>
      <c r="J564" s="1761" t="s">
        <v>2319</v>
      </c>
      <c r="K564" s="1761" t="s">
        <v>2687</v>
      </c>
      <c r="L564" s="1761" t="s">
        <v>2687</v>
      </c>
      <c r="M564" s="1762">
        <v>27240000</v>
      </c>
      <c r="N564" s="1763" t="s">
        <v>2483</v>
      </c>
      <c r="O564" s="1755"/>
    </row>
    <row r="565" spans="1:15" ht="15">
      <c r="A565" s="1764" t="s">
        <v>2484</v>
      </c>
      <c r="B565" s="1757">
        <v>13</v>
      </c>
      <c r="C565" s="1758" t="s">
        <v>2485</v>
      </c>
      <c r="D565" s="1758" t="s">
        <v>2637</v>
      </c>
      <c r="E565" s="1759">
        <v>10430</v>
      </c>
      <c r="F565" s="1759">
        <v>6060000</v>
      </c>
      <c r="G565" s="1760" t="s">
        <v>2686</v>
      </c>
      <c r="H565" s="1758" t="s">
        <v>2325</v>
      </c>
      <c r="I565" s="1645" t="s">
        <v>2388</v>
      </c>
      <c r="J565" s="1761" t="s">
        <v>2319</v>
      </c>
      <c r="K565" s="1761" t="s">
        <v>2687</v>
      </c>
      <c r="L565" s="1761" t="s">
        <v>2687</v>
      </c>
      <c r="M565" s="1762">
        <v>21980000</v>
      </c>
      <c r="N565" s="1763" t="s">
        <v>2486</v>
      </c>
      <c r="O565" s="1755"/>
    </row>
    <row r="566" spans="1:15" ht="15">
      <c r="A566" s="1764" t="s">
        <v>2487</v>
      </c>
      <c r="B566" s="1757">
        <v>13</v>
      </c>
      <c r="C566" s="1758" t="s">
        <v>2488</v>
      </c>
      <c r="D566" s="1758" t="s">
        <v>2637</v>
      </c>
      <c r="E566" s="1759">
        <v>10430</v>
      </c>
      <c r="F566" s="1759">
        <v>6060000</v>
      </c>
      <c r="G566" s="1760" t="s">
        <v>2686</v>
      </c>
      <c r="H566" s="1758" t="s">
        <v>2489</v>
      </c>
      <c r="I566" s="1645" t="s">
        <v>2388</v>
      </c>
      <c r="J566" s="1761" t="s">
        <v>2319</v>
      </c>
      <c r="K566" s="1761" t="s">
        <v>2687</v>
      </c>
      <c r="L566" s="1761" t="s">
        <v>2687</v>
      </c>
      <c r="M566" s="1762">
        <v>82060000</v>
      </c>
      <c r="N566" s="1763" t="s">
        <v>2490</v>
      </c>
      <c r="O566" s="1755"/>
    </row>
    <row r="567" spans="1:15" ht="15">
      <c r="A567" s="1764" t="s">
        <v>2491</v>
      </c>
      <c r="B567" s="1757">
        <v>13</v>
      </c>
      <c r="C567" s="1758" t="s">
        <v>2492</v>
      </c>
      <c r="D567" s="1758" t="s">
        <v>2637</v>
      </c>
      <c r="E567" s="1759">
        <v>10430</v>
      </c>
      <c r="F567" s="1759">
        <v>6060000</v>
      </c>
      <c r="G567" s="1760" t="s">
        <v>2686</v>
      </c>
      <c r="H567" s="1758" t="s">
        <v>2489</v>
      </c>
      <c r="I567" s="1645" t="s">
        <v>2388</v>
      </c>
      <c r="J567" s="1761" t="s">
        <v>2319</v>
      </c>
      <c r="K567" s="1761" t="s">
        <v>2687</v>
      </c>
      <c r="L567" s="1761" t="s">
        <v>2687</v>
      </c>
      <c r="M567" s="1762">
        <v>29860000</v>
      </c>
      <c r="N567" s="1763" t="s">
        <v>2493</v>
      </c>
      <c r="O567" s="1755"/>
    </row>
    <row r="568" spans="1:15" ht="15">
      <c r="A568" s="1764" t="s">
        <v>2494</v>
      </c>
      <c r="B568" s="1757">
        <v>13</v>
      </c>
      <c r="C568" s="1758" t="s">
        <v>2495</v>
      </c>
      <c r="D568" s="1758" t="s">
        <v>2637</v>
      </c>
      <c r="E568" s="1759">
        <v>10430</v>
      </c>
      <c r="F568" s="1759">
        <v>6060000</v>
      </c>
      <c r="G568" s="1760" t="s">
        <v>2686</v>
      </c>
      <c r="H568" s="1758" t="s">
        <v>2496</v>
      </c>
      <c r="I568" s="1645" t="s">
        <v>2388</v>
      </c>
      <c r="J568" s="1761" t="s">
        <v>2319</v>
      </c>
      <c r="K568" s="1761" t="s">
        <v>2687</v>
      </c>
      <c r="L568" s="1761" t="s">
        <v>2687</v>
      </c>
      <c r="M568" s="1762">
        <v>26330000</v>
      </c>
      <c r="N568" s="1763" t="s">
        <v>2497</v>
      </c>
      <c r="O568" s="1755"/>
    </row>
    <row r="569" spans="1:15" ht="15">
      <c r="A569" s="1764" t="s">
        <v>148</v>
      </c>
      <c r="B569" s="1757">
        <v>13</v>
      </c>
      <c r="C569" s="1758" t="s">
        <v>2498</v>
      </c>
      <c r="D569" s="1758" t="s">
        <v>2637</v>
      </c>
      <c r="E569" s="1759">
        <v>10430</v>
      </c>
      <c r="F569" s="1759">
        <v>6060000</v>
      </c>
      <c r="G569" s="1760" t="s">
        <v>2686</v>
      </c>
      <c r="H569" s="1758" t="s">
        <v>2499</v>
      </c>
      <c r="I569" s="1645" t="s">
        <v>2388</v>
      </c>
      <c r="J569" s="1761" t="s">
        <v>2319</v>
      </c>
      <c r="K569" s="1761" t="s">
        <v>2687</v>
      </c>
      <c r="L569" s="1761" t="s">
        <v>2687</v>
      </c>
      <c r="M569" s="1762">
        <v>24190000</v>
      </c>
      <c r="N569" s="1763" t="s">
        <v>2500</v>
      </c>
      <c r="O569" s="1755"/>
    </row>
    <row r="570" spans="1:15" ht="15">
      <c r="A570" s="1764" t="s">
        <v>2501</v>
      </c>
      <c r="B570" s="1757">
        <v>13</v>
      </c>
      <c r="C570" s="1758" t="s">
        <v>2502</v>
      </c>
      <c r="D570" s="1758" t="s">
        <v>2637</v>
      </c>
      <c r="E570" s="1759">
        <v>10430</v>
      </c>
      <c r="F570" s="1759">
        <v>6060000</v>
      </c>
      <c r="G570" s="1760" t="s">
        <v>2686</v>
      </c>
      <c r="H570" s="1758" t="s">
        <v>2499</v>
      </c>
      <c r="I570" s="1645" t="s">
        <v>2388</v>
      </c>
      <c r="J570" s="1761" t="s">
        <v>2319</v>
      </c>
      <c r="K570" s="1761" t="s">
        <v>2687</v>
      </c>
      <c r="L570" s="1761" t="s">
        <v>2687</v>
      </c>
      <c r="M570" s="1762">
        <v>3970000</v>
      </c>
      <c r="N570" s="1763" t="s">
        <v>2503</v>
      </c>
      <c r="O570" s="1755"/>
    </row>
    <row r="571" spans="1:15" ht="15">
      <c r="A571" s="1764" t="s">
        <v>2504</v>
      </c>
      <c r="B571" s="1757">
        <v>13</v>
      </c>
      <c r="C571" s="1758" t="s">
        <v>2505</v>
      </c>
      <c r="D571" s="1758" t="s">
        <v>2637</v>
      </c>
      <c r="E571" s="1759">
        <v>10430</v>
      </c>
      <c r="F571" s="1759">
        <v>6060000</v>
      </c>
      <c r="G571" s="1760" t="s">
        <v>2686</v>
      </c>
      <c r="H571" s="1758" t="s">
        <v>2506</v>
      </c>
      <c r="I571" s="1645" t="s">
        <v>2388</v>
      </c>
      <c r="J571" s="1761" t="s">
        <v>2319</v>
      </c>
      <c r="K571" s="1761" t="s">
        <v>2687</v>
      </c>
      <c r="L571" s="1761" t="s">
        <v>2687</v>
      </c>
      <c r="M571" s="1762">
        <v>14420000</v>
      </c>
      <c r="N571" s="1763" t="s">
        <v>2507</v>
      </c>
      <c r="O571" s="1755"/>
    </row>
    <row r="572" spans="1:15" ht="15">
      <c r="A572" s="1764" t="s">
        <v>2508</v>
      </c>
      <c r="B572" s="1757">
        <v>13</v>
      </c>
      <c r="C572" s="1758" t="s">
        <v>2509</v>
      </c>
      <c r="D572" s="1758" t="s">
        <v>2637</v>
      </c>
      <c r="E572" s="1759">
        <v>10430</v>
      </c>
      <c r="F572" s="1759">
        <v>6060000</v>
      </c>
      <c r="G572" s="1760" t="s">
        <v>2686</v>
      </c>
      <c r="H572" s="1758" t="s">
        <v>2506</v>
      </c>
      <c r="I572" s="1645" t="s">
        <v>2388</v>
      </c>
      <c r="J572" s="1761" t="s">
        <v>2319</v>
      </c>
      <c r="K572" s="1761" t="s">
        <v>2687</v>
      </c>
      <c r="L572" s="1761" t="s">
        <v>2687</v>
      </c>
      <c r="M572" s="1762">
        <v>17110000</v>
      </c>
      <c r="N572" s="1763" t="s">
        <v>2510</v>
      </c>
      <c r="O572" s="1755"/>
    </row>
    <row r="573" spans="1:15" ht="15">
      <c r="A573" s="1764" t="s">
        <v>2511</v>
      </c>
      <c r="B573" s="1757">
        <v>13</v>
      </c>
      <c r="C573" s="1758" t="s">
        <v>2512</v>
      </c>
      <c r="D573" s="1758" t="s">
        <v>2637</v>
      </c>
      <c r="E573" s="1759">
        <v>10430</v>
      </c>
      <c r="F573" s="1759">
        <v>6060000</v>
      </c>
      <c r="G573" s="1760" t="s">
        <v>2686</v>
      </c>
      <c r="H573" s="1758" t="s">
        <v>2513</v>
      </c>
      <c r="I573" s="1645" t="s">
        <v>2388</v>
      </c>
      <c r="J573" s="1761" t="s">
        <v>2319</v>
      </c>
      <c r="K573" s="1761" t="s">
        <v>2687</v>
      </c>
      <c r="L573" s="1761" t="s">
        <v>2687</v>
      </c>
      <c r="M573" s="1762">
        <v>13340000</v>
      </c>
      <c r="N573" s="1763" t="s">
        <v>2514</v>
      </c>
      <c r="O573" s="1755"/>
    </row>
    <row r="574" spans="1:15" ht="15">
      <c r="A574" s="1764" t="s">
        <v>2515</v>
      </c>
      <c r="B574" s="1757">
        <v>13</v>
      </c>
      <c r="C574" s="1758" t="s">
        <v>2516</v>
      </c>
      <c r="D574" s="1758" t="s">
        <v>2637</v>
      </c>
      <c r="E574" s="1759">
        <v>10430</v>
      </c>
      <c r="F574" s="1759">
        <v>6060000</v>
      </c>
      <c r="G574" s="1760" t="s">
        <v>2686</v>
      </c>
      <c r="H574" s="1758" t="s">
        <v>2513</v>
      </c>
      <c r="I574" s="1645" t="s">
        <v>2388</v>
      </c>
      <c r="J574" s="1761" t="s">
        <v>2319</v>
      </c>
      <c r="K574" s="1761" t="s">
        <v>2687</v>
      </c>
      <c r="L574" s="1761" t="s">
        <v>2687</v>
      </c>
      <c r="M574" s="1762">
        <v>9480000</v>
      </c>
      <c r="N574" s="1763" t="s">
        <v>2517</v>
      </c>
      <c r="O574" s="1755"/>
    </row>
    <row r="575" spans="1:15" ht="15">
      <c r="A575" s="1756" t="s">
        <v>2518</v>
      </c>
      <c r="B575" s="1757">
        <v>13</v>
      </c>
      <c r="C575" s="1645" t="s">
        <v>2519</v>
      </c>
      <c r="D575" s="1758" t="s">
        <v>2637</v>
      </c>
      <c r="E575" s="1759">
        <v>10430</v>
      </c>
      <c r="F575" s="1759">
        <v>6060000</v>
      </c>
      <c r="G575" s="1760" t="s">
        <v>2686</v>
      </c>
      <c r="H575" s="1645" t="s">
        <v>2499</v>
      </c>
      <c r="I575" s="1645" t="s">
        <v>2388</v>
      </c>
      <c r="J575" s="1761" t="s">
        <v>2319</v>
      </c>
      <c r="K575" s="1761" t="s">
        <v>2687</v>
      </c>
      <c r="L575" s="1761" t="s">
        <v>2687</v>
      </c>
      <c r="M575" s="1762">
        <v>6010000</v>
      </c>
      <c r="N575" s="1766" t="s">
        <v>2520</v>
      </c>
      <c r="O575" s="1755"/>
    </row>
    <row r="576" spans="1:15" ht="15">
      <c r="A576" s="1764" t="s">
        <v>2521</v>
      </c>
      <c r="B576" s="1757">
        <v>13</v>
      </c>
      <c r="C576" s="1758" t="s">
        <v>2522</v>
      </c>
      <c r="D576" s="1758" t="s">
        <v>2637</v>
      </c>
      <c r="E576" s="1759">
        <v>10430</v>
      </c>
      <c r="F576" s="1759">
        <v>6060000</v>
      </c>
      <c r="G576" s="1760" t="s">
        <v>2686</v>
      </c>
      <c r="H576" s="1758" t="s">
        <v>2523</v>
      </c>
      <c r="I576" s="1645" t="s">
        <v>2388</v>
      </c>
      <c r="J576" s="1761" t="s">
        <v>2319</v>
      </c>
      <c r="K576" s="1761" t="s">
        <v>2687</v>
      </c>
      <c r="L576" s="1761" t="s">
        <v>2687</v>
      </c>
      <c r="M576" s="1762">
        <v>84200000</v>
      </c>
      <c r="N576" s="1763" t="s">
        <v>2524</v>
      </c>
      <c r="O576" s="1755"/>
    </row>
    <row r="577" spans="1:15" ht="15">
      <c r="A577" s="1764" t="s">
        <v>2525</v>
      </c>
      <c r="B577" s="1757">
        <v>13</v>
      </c>
      <c r="C577" s="1758" t="s">
        <v>2526</v>
      </c>
      <c r="D577" s="1758" t="s">
        <v>2637</v>
      </c>
      <c r="E577" s="1759">
        <v>10430</v>
      </c>
      <c r="F577" s="1759">
        <v>6060000</v>
      </c>
      <c r="G577" s="1760" t="s">
        <v>2686</v>
      </c>
      <c r="H577" s="1758" t="s">
        <v>2523</v>
      </c>
      <c r="I577" s="1645" t="s">
        <v>2388</v>
      </c>
      <c r="J577" s="1761" t="s">
        <v>2319</v>
      </c>
      <c r="K577" s="1761" t="s">
        <v>2687</v>
      </c>
      <c r="L577" s="1761" t="s">
        <v>2687</v>
      </c>
      <c r="M577" s="1762">
        <v>38930000</v>
      </c>
      <c r="N577" s="1763" t="s">
        <v>2527</v>
      </c>
      <c r="O577" s="1755"/>
    </row>
    <row r="578" spans="1:15" ht="15">
      <c r="A578" s="1756" t="s">
        <v>2528</v>
      </c>
      <c r="B578" s="1757">
        <v>13</v>
      </c>
      <c r="C578" s="1645" t="s">
        <v>2529</v>
      </c>
      <c r="D578" s="1758" t="s">
        <v>2637</v>
      </c>
      <c r="E578" s="1759">
        <v>10430</v>
      </c>
      <c r="F578" s="1759">
        <v>6060000</v>
      </c>
      <c r="G578" s="1760" t="s">
        <v>2686</v>
      </c>
      <c r="H578" s="1645" t="s">
        <v>2523</v>
      </c>
      <c r="I578" s="1645" t="s">
        <v>2388</v>
      </c>
      <c r="J578" s="1761" t="s">
        <v>2319</v>
      </c>
      <c r="K578" s="1761" t="s">
        <v>2687</v>
      </c>
      <c r="L578" s="1761" t="s">
        <v>2687</v>
      </c>
      <c r="M578" s="1762">
        <v>1480000</v>
      </c>
      <c r="N578" s="1766" t="s">
        <v>2530</v>
      </c>
      <c r="O578" s="1755"/>
    </row>
    <row r="579" spans="1:15" ht="15">
      <c r="A579" s="1764" t="s">
        <v>2531</v>
      </c>
      <c r="B579" s="1757">
        <v>13</v>
      </c>
      <c r="C579" s="1758" t="s">
        <v>2532</v>
      </c>
      <c r="D579" s="1758" t="s">
        <v>2637</v>
      </c>
      <c r="E579" s="1759">
        <v>10430</v>
      </c>
      <c r="F579" s="1759">
        <v>6060000</v>
      </c>
      <c r="G579" s="1760" t="s">
        <v>2686</v>
      </c>
      <c r="H579" s="1758" t="s">
        <v>2533</v>
      </c>
      <c r="I579" s="1645" t="s">
        <v>2388</v>
      </c>
      <c r="J579" s="1761" t="s">
        <v>2319</v>
      </c>
      <c r="K579" s="1761" t="s">
        <v>2687</v>
      </c>
      <c r="L579" s="1761" t="s">
        <v>2687</v>
      </c>
      <c r="M579" s="1762">
        <v>14650000</v>
      </c>
      <c r="N579" s="1763" t="s">
        <v>2534</v>
      </c>
      <c r="O579" s="1755"/>
    </row>
    <row r="580" spans="1:15" ht="15">
      <c r="A580" s="1764" t="s">
        <v>2535</v>
      </c>
      <c r="B580" s="1757">
        <v>13</v>
      </c>
      <c r="C580" s="1758" t="s">
        <v>2536</v>
      </c>
      <c r="D580" s="1758" t="s">
        <v>2637</v>
      </c>
      <c r="E580" s="1759">
        <v>10430</v>
      </c>
      <c r="F580" s="1759">
        <v>6060000</v>
      </c>
      <c r="G580" s="1760" t="s">
        <v>2686</v>
      </c>
      <c r="H580" s="1758" t="s">
        <v>2537</v>
      </c>
      <c r="I580" s="1645" t="s">
        <v>2388</v>
      </c>
      <c r="J580" s="1761" t="s">
        <v>2319</v>
      </c>
      <c r="K580" s="1761" t="s">
        <v>2687</v>
      </c>
      <c r="L580" s="1761" t="s">
        <v>2687</v>
      </c>
      <c r="M580" s="1762">
        <v>22630000</v>
      </c>
      <c r="N580" s="1763" t="s">
        <v>2538</v>
      </c>
      <c r="O580" s="1755"/>
    </row>
    <row r="581" spans="1:15" ht="15">
      <c r="A581" s="1764" t="s">
        <v>2539</v>
      </c>
      <c r="B581" s="1757">
        <v>13</v>
      </c>
      <c r="C581" s="1758" t="s">
        <v>2540</v>
      </c>
      <c r="D581" s="1758" t="s">
        <v>2637</v>
      </c>
      <c r="E581" s="1759">
        <v>10430</v>
      </c>
      <c r="F581" s="1759">
        <v>6060000</v>
      </c>
      <c r="G581" s="1760" t="s">
        <v>2686</v>
      </c>
      <c r="H581" s="1758" t="s">
        <v>2541</v>
      </c>
      <c r="I581" s="1645" t="s">
        <v>2388</v>
      </c>
      <c r="J581" s="1761" t="s">
        <v>2319</v>
      </c>
      <c r="K581" s="1761" t="s">
        <v>2687</v>
      </c>
      <c r="L581" s="1761" t="s">
        <v>2687</v>
      </c>
      <c r="M581" s="1762">
        <v>83150000</v>
      </c>
      <c r="N581" s="1763" t="s">
        <v>2542</v>
      </c>
      <c r="O581" s="1755"/>
    </row>
    <row r="582" spans="1:15" ht="15">
      <c r="A582" s="1764">
        <v>113</v>
      </c>
      <c r="B582" s="1757">
        <v>13</v>
      </c>
      <c r="C582" s="1758">
        <v>2113001</v>
      </c>
      <c r="D582" s="1758" t="s">
        <v>2637</v>
      </c>
      <c r="E582" s="1759">
        <v>10430</v>
      </c>
      <c r="F582" s="1759">
        <v>6060000</v>
      </c>
      <c r="G582" s="1760" t="s">
        <v>2686</v>
      </c>
      <c r="H582" s="1758" t="s">
        <v>2544</v>
      </c>
      <c r="I582" s="1645" t="s">
        <v>2388</v>
      </c>
      <c r="J582" s="1761" t="s">
        <v>2319</v>
      </c>
      <c r="K582" s="1761" t="s">
        <v>2687</v>
      </c>
      <c r="L582" s="1761" t="s">
        <v>2687</v>
      </c>
      <c r="M582" s="1762">
        <v>48470000</v>
      </c>
      <c r="N582" s="1763" t="s">
        <v>2545</v>
      </c>
      <c r="O582" s="1755"/>
    </row>
    <row r="583" spans="1:15" ht="15">
      <c r="A583" s="1764" t="s">
        <v>2546</v>
      </c>
      <c r="B583" s="1757">
        <v>13</v>
      </c>
      <c r="C583" s="1758" t="s">
        <v>2547</v>
      </c>
      <c r="D583" s="1758" t="s">
        <v>2637</v>
      </c>
      <c r="E583" s="1759">
        <v>10430</v>
      </c>
      <c r="F583" s="1759">
        <v>6060000</v>
      </c>
      <c r="G583" s="1760" t="s">
        <v>2686</v>
      </c>
      <c r="H583" s="1758" t="s">
        <v>2548</v>
      </c>
      <c r="I583" s="1645" t="s">
        <v>2388</v>
      </c>
      <c r="J583" s="1761" t="s">
        <v>2319</v>
      </c>
      <c r="K583" s="1761" t="s">
        <v>2687</v>
      </c>
      <c r="L583" s="1761" t="s">
        <v>2687</v>
      </c>
      <c r="M583" s="1762">
        <v>16410000</v>
      </c>
      <c r="N583" s="1763" t="s">
        <v>2549</v>
      </c>
      <c r="O583" s="1755"/>
    </row>
    <row r="584" spans="1:15" ht="15">
      <c r="A584" s="1764" t="s">
        <v>2550</v>
      </c>
      <c r="B584" s="1757">
        <v>13</v>
      </c>
      <c r="C584" s="1758" t="s">
        <v>2551</v>
      </c>
      <c r="D584" s="1758" t="s">
        <v>2637</v>
      </c>
      <c r="E584" s="1759">
        <v>10430</v>
      </c>
      <c r="F584" s="1759">
        <v>6060000</v>
      </c>
      <c r="G584" s="1760" t="s">
        <v>2686</v>
      </c>
      <c r="H584" s="1758" t="s">
        <v>2552</v>
      </c>
      <c r="I584" s="1645" t="s">
        <v>2388</v>
      </c>
      <c r="J584" s="1761" t="s">
        <v>2319</v>
      </c>
      <c r="K584" s="1761" t="s">
        <v>2687</v>
      </c>
      <c r="L584" s="1761" t="s">
        <v>2687</v>
      </c>
      <c r="M584" s="1762">
        <v>31280000</v>
      </c>
      <c r="N584" s="1763" t="s">
        <v>2553</v>
      </c>
      <c r="O584" s="1755"/>
    </row>
    <row r="585" spans="1:15" ht="15">
      <c r="A585" s="1764" t="s">
        <v>2554</v>
      </c>
      <c r="B585" s="1757">
        <v>13</v>
      </c>
      <c r="C585" s="1758" t="s">
        <v>2555</v>
      </c>
      <c r="D585" s="1758" t="s">
        <v>2637</v>
      </c>
      <c r="E585" s="1759">
        <v>10430</v>
      </c>
      <c r="F585" s="1759">
        <v>6060000</v>
      </c>
      <c r="G585" s="1760" t="s">
        <v>2686</v>
      </c>
      <c r="H585" s="1758" t="s">
        <v>2556</v>
      </c>
      <c r="I585" s="1645" t="s">
        <v>2388</v>
      </c>
      <c r="J585" s="1761" t="s">
        <v>2319</v>
      </c>
      <c r="K585" s="1761" t="s">
        <v>2687</v>
      </c>
      <c r="L585" s="1761" t="s">
        <v>2687</v>
      </c>
      <c r="M585" s="1762">
        <v>79840000</v>
      </c>
      <c r="N585" s="1763" t="s">
        <v>2557</v>
      </c>
      <c r="O585" s="1755"/>
    </row>
    <row r="586" spans="1:15" ht="15">
      <c r="A586" s="1764" t="s">
        <v>2558</v>
      </c>
      <c r="B586" s="1757">
        <v>13</v>
      </c>
      <c r="C586" s="1758" t="s">
        <v>2559</v>
      </c>
      <c r="D586" s="1758" t="s">
        <v>2637</v>
      </c>
      <c r="E586" s="1759">
        <v>10430</v>
      </c>
      <c r="F586" s="1759">
        <v>6060000</v>
      </c>
      <c r="G586" s="1760" t="s">
        <v>2686</v>
      </c>
      <c r="H586" s="1758" t="s">
        <v>2560</v>
      </c>
      <c r="I586" s="1645" t="s">
        <v>2388</v>
      </c>
      <c r="J586" s="1761" t="s">
        <v>2319</v>
      </c>
      <c r="K586" s="1761" t="s">
        <v>2687</v>
      </c>
      <c r="L586" s="1761" t="s">
        <v>2687</v>
      </c>
      <c r="M586" s="1762">
        <v>31240000</v>
      </c>
      <c r="N586" s="1763" t="s">
        <v>2561</v>
      </c>
      <c r="O586" s="1755"/>
    </row>
    <row r="587" spans="1:15" ht="15">
      <c r="A587" s="1764" t="s">
        <v>2562</v>
      </c>
      <c r="B587" s="1757">
        <v>13</v>
      </c>
      <c r="C587" s="1758" t="s">
        <v>2563</v>
      </c>
      <c r="D587" s="1758" t="s">
        <v>2637</v>
      </c>
      <c r="E587" s="1759">
        <v>10430</v>
      </c>
      <c r="F587" s="1759">
        <v>6060000</v>
      </c>
      <c r="G587" s="1760" t="s">
        <v>2686</v>
      </c>
      <c r="H587" s="1758" t="s">
        <v>2564</v>
      </c>
      <c r="I587" s="1645" t="s">
        <v>2388</v>
      </c>
      <c r="J587" s="1761" t="s">
        <v>2319</v>
      </c>
      <c r="K587" s="1761" t="s">
        <v>2687</v>
      </c>
      <c r="L587" s="1761" t="s">
        <v>2687</v>
      </c>
      <c r="M587" s="1762">
        <v>60520000</v>
      </c>
      <c r="N587" s="1763" t="s">
        <v>2565</v>
      </c>
      <c r="O587" s="1755"/>
    </row>
    <row r="588" spans="1:15" ht="15">
      <c r="A588" s="1764" t="s">
        <v>2566</v>
      </c>
      <c r="B588" s="1757">
        <v>13</v>
      </c>
      <c r="C588" s="1758" t="s">
        <v>2567</v>
      </c>
      <c r="D588" s="1758" t="s">
        <v>2637</v>
      </c>
      <c r="E588" s="1759">
        <v>10430</v>
      </c>
      <c r="F588" s="1759">
        <v>6060000</v>
      </c>
      <c r="G588" s="1760" t="s">
        <v>2686</v>
      </c>
      <c r="H588" s="1758" t="s">
        <v>2568</v>
      </c>
      <c r="I588" s="1645" t="s">
        <v>2388</v>
      </c>
      <c r="J588" s="1761" t="s">
        <v>2319</v>
      </c>
      <c r="K588" s="1761" t="s">
        <v>2687</v>
      </c>
      <c r="L588" s="1761" t="s">
        <v>2687</v>
      </c>
      <c r="M588" s="1762">
        <v>30730000</v>
      </c>
      <c r="N588" s="1763" t="s">
        <v>2569</v>
      </c>
      <c r="O588" s="1755"/>
    </row>
    <row r="589" spans="1:15" ht="15">
      <c r="A589" s="1764" t="s">
        <v>2570</v>
      </c>
      <c r="B589" s="1757">
        <v>13</v>
      </c>
      <c r="C589" s="1758" t="s">
        <v>2571</v>
      </c>
      <c r="D589" s="1758" t="s">
        <v>2637</v>
      </c>
      <c r="E589" s="1759">
        <v>10430</v>
      </c>
      <c r="F589" s="1759">
        <v>6060000</v>
      </c>
      <c r="G589" s="1760" t="s">
        <v>2686</v>
      </c>
      <c r="H589" s="1758" t="s">
        <v>2572</v>
      </c>
      <c r="I589" s="1645" t="s">
        <v>2388</v>
      </c>
      <c r="J589" s="1761" t="s">
        <v>2319</v>
      </c>
      <c r="K589" s="1761" t="s">
        <v>2687</v>
      </c>
      <c r="L589" s="1761" t="s">
        <v>2687</v>
      </c>
      <c r="M589" s="1762">
        <v>128870000</v>
      </c>
      <c r="N589" s="1763" t="s">
        <v>2573</v>
      </c>
      <c r="O589" s="1755"/>
    </row>
    <row r="590" spans="1:15" ht="15">
      <c r="A590" s="1764" t="s">
        <v>2574</v>
      </c>
      <c r="B590" s="1757">
        <v>13</v>
      </c>
      <c r="C590" s="1758" t="s">
        <v>2575</v>
      </c>
      <c r="D590" s="1758" t="s">
        <v>2637</v>
      </c>
      <c r="E590" s="1759">
        <v>10430</v>
      </c>
      <c r="F590" s="1759">
        <v>6060000</v>
      </c>
      <c r="G590" s="1760" t="s">
        <v>2686</v>
      </c>
      <c r="H590" s="1758" t="s">
        <v>2572</v>
      </c>
      <c r="I590" s="1645" t="s">
        <v>2388</v>
      </c>
      <c r="J590" s="1761" t="s">
        <v>2319</v>
      </c>
      <c r="K590" s="1761" t="s">
        <v>2687</v>
      </c>
      <c r="L590" s="1761" t="s">
        <v>2687</v>
      </c>
      <c r="M590" s="1762">
        <v>30160000</v>
      </c>
      <c r="N590" s="1763" t="s">
        <v>2576</v>
      </c>
      <c r="O590" s="1755"/>
    </row>
    <row r="591" spans="1:15" ht="15">
      <c r="A591" s="1764" t="s">
        <v>2577</v>
      </c>
      <c r="B591" s="1757">
        <v>13</v>
      </c>
      <c r="C591" s="1758" t="s">
        <v>2578</v>
      </c>
      <c r="D591" s="1758" t="s">
        <v>2637</v>
      </c>
      <c r="E591" s="1759">
        <v>10430</v>
      </c>
      <c r="F591" s="1759">
        <v>6060000</v>
      </c>
      <c r="G591" s="1760" t="s">
        <v>2686</v>
      </c>
      <c r="H591" s="1758" t="s">
        <v>2579</v>
      </c>
      <c r="I591" s="1645" t="s">
        <v>2388</v>
      </c>
      <c r="J591" s="1761" t="s">
        <v>2319</v>
      </c>
      <c r="K591" s="1761" t="s">
        <v>2687</v>
      </c>
      <c r="L591" s="1761" t="s">
        <v>2687</v>
      </c>
      <c r="M591" s="1762">
        <v>12920000</v>
      </c>
      <c r="N591" s="1763" t="s">
        <v>2580</v>
      </c>
      <c r="O591" s="1755"/>
    </row>
    <row r="592" spans="1:15" ht="15">
      <c r="A592" s="1764" t="s">
        <v>2581</v>
      </c>
      <c r="B592" s="1757">
        <v>13</v>
      </c>
      <c r="C592" s="1758" t="s">
        <v>2582</v>
      </c>
      <c r="D592" s="1758" t="s">
        <v>2637</v>
      </c>
      <c r="E592" s="1759">
        <v>10430</v>
      </c>
      <c r="F592" s="1759">
        <v>6060000</v>
      </c>
      <c r="G592" s="1760" t="s">
        <v>2686</v>
      </c>
      <c r="H592" s="1758" t="s">
        <v>2579</v>
      </c>
      <c r="I592" s="1645" t="s">
        <v>2388</v>
      </c>
      <c r="J592" s="1761" t="s">
        <v>2319</v>
      </c>
      <c r="K592" s="1761" t="s">
        <v>2687</v>
      </c>
      <c r="L592" s="1761" t="s">
        <v>2687</v>
      </c>
      <c r="M592" s="1762">
        <v>10190000</v>
      </c>
      <c r="N592" s="1763" t="s">
        <v>2583</v>
      </c>
      <c r="O592" s="1755"/>
    </row>
    <row r="593" spans="1:15" ht="15">
      <c r="A593" s="1764" t="s">
        <v>2584</v>
      </c>
      <c r="B593" s="1757">
        <v>13</v>
      </c>
      <c r="C593" s="1758" t="s">
        <v>2585</v>
      </c>
      <c r="D593" s="1758" t="s">
        <v>2637</v>
      </c>
      <c r="E593" s="1759">
        <v>10430</v>
      </c>
      <c r="F593" s="1759">
        <v>6060000</v>
      </c>
      <c r="G593" s="1760" t="s">
        <v>2686</v>
      </c>
      <c r="H593" s="1758" t="s">
        <v>2372</v>
      </c>
      <c r="I593" s="1645" t="s">
        <v>2388</v>
      </c>
      <c r="J593" s="1761" t="s">
        <v>2319</v>
      </c>
      <c r="K593" s="1761" t="s">
        <v>2687</v>
      </c>
      <c r="L593" s="1761" t="s">
        <v>2687</v>
      </c>
      <c r="M593" s="1762">
        <v>371910000</v>
      </c>
      <c r="N593" s="1763" t="s">
        <v>2586</v>
      </c>
      <c r="O593" s="1755"/>
    </row>
    <row r="594" spans="1:15" ht="15">
      <c r="A594" s="1764" t="s">
        <v>2587</v>
      </c>
      <c r="B594" s="1757">
        <v>13</v>
      </c>
      <c r="C594" s="1758" t="s">
        <v>2588</v>
      </c>
      <c r="D594" s="1758" t="s">
        <v>2637</v>
      </c>
      <c r="E594" s="1759">
        <v>10430</v>
      </c>
      <c r="F594" s="1759">
        <v>6060000</v>
      </c>
      <c r="G594" s="1760" t="s">
        <v>2686</v>
      </c>
      <c r="H594" s="1758" t="s">
        <v>2372</v>
      </c>
      <c r="I594" s="1645" t="s">
        <v>2388</v>
      </c>
      <c r="J594" s="1761" t="s">
        <v>2319</v>
      </c>
      <c r="K594" s="1761" t="s">
        <v>2687</v>
      </c>
      <c r="L594" s="1761" t="s">
        <v>2687</v>
      </c>
      <c r="M594" s="1762">
        <v>69640000</v>
      </c>
      <c r="N594" s="1763" t="s">
        <v>2589</v>
      </c>
      <c r="O594" s="1755"/>
    </row>
    <row r="595" spans="1:15" ht="15">
      <c r="A595" s="1764" t="s">
        <v>2590</v>
      </c>
      <c r="B595" s="1757">
        <v>13</v>
      </c>
      <c r="C595" s="1758" t="s">
        <v>2591</v>
      </c>
      <c r="D595" s="1758" t="s">
        <v>2637</v>
      </c>
      <c r="E595" s="1759">
        <v>10430</v>
      </c>
      <c r="F595" s="1759">
        <v>6060000</v>
      </c>
      <c r="G595" s="1760" t="s">
        <v>2686</v>
      </c>
      <c r="H595" s="1758" t="s">
        <v>2372</v>
      </c>
      <c r="I595" s="1645" t="s">
        <v>2388</v>
      </c>
      <c r="J595" s="1761" t="s">
        <v>2319</v>
      </c>
      <c r="K595" s="1761" t="s">
        <v>2687</v>
      </c>
      <c r="L595" s="1761" t="s">
        <v>2687</v>
      </c>
      <c r="M595" s="1762">
        <v>18400000</v>
      </c>
      <c r="N595" s="1763" t="s">
        <v>2592</v>
      </c>
      <c r="O595" s="1755"/>
    </row>
    <row r="596" spans="1:15" ht="15">
      <c r="A596" s="1764" t="s">
        <v>2593</v>
      </c>
      <c r="B596" s="1757">
        <v>13</v>
      </c>
      <c r="C596" s="1758" t="s">
        <v>2594</v>
      </c>
      <c r="D596" s="1758" t="s">
        <v>2637</v>
      </c>
      <c r="E596" s="1759">
        <v>10430</v>
      </c>
      <c r="F596" s="1759">
        <v>6060000</v>
      </c>
      <c r="G596" s="1760" t="s">
        <v>2686</v>
      </c>
      <c r="H596" s="1758" t="s">
        <v>2595</v>
      </c>
      <c r="I596" s="1645" t="s">
        <v>2388</v>
      </c>
      <c r="J596" s="1761" t="s">
        <v>2319</v>
      </c>
      <c r="K596" s="1761" t="s">
        <v>2687</v>
      </c>
      <c r="L596" s="1761" t="s">
        <v>2687</v>
      </c>
      <c r="M596" s="1762">
        <v>38200000</v>
      </c>
      <c r="N596" s="1763" t="s">
        <v>2596</v>
      </c>
      <c r="O596" s="1755"/>
    </row>
    <row r="597" spans="1:15" ht="15">
      <c r="A597" s="1764" t="s">
        <v>2597</v>
      </c>
      <c r="B597" s="1757">
        <v>13</v>
      </c>
      <c r="C597" s="1758" t="s">
        <v>2598</v>
      </c>
      <c r="D597" s="1758" t="s">
        <v>2637</v>
      </c>
      <c r="E597" s="1759">
        <v>10430</v>
      </c>
      <c r="F597" s="1759">
        <v>6060000</v>
      </c>
      <c r="G597" s="1760" t="s">
        <v>2686</v>
      </c>
      <c r="H597" s="1758" t="s">
        <v>2595</v>
      </c>
      <c r="I597" s="1645" t="s">
        <v>2388</v>
      </c>
      <c r="J597" s="1761" t="s">
        <v>2319</v>
      </c>
      <c r="K597" s="1761" t="s">
        <v>2687</v>
      </c>
      <c r="L597" s="1761" t="s">
        <v>2687</v>
      </c>
      <c r="M597" s="1762">
        <v>17570000</v>
      </c>
      <c r="N597" s="1763" t="s">
        <v>2599</v>
      </c>
      <c r="O597" s="1755"/>
    </row>
    <row r="598" spans="1:15" ht="15">
      <c r="A598" s="1764" t="s">
        <v>2600</v>
      </c>
      <c r="B598" s="1757">
        <v>13</v>
      </c>
      <c r="C598" s="1758" t="s">
        <v>2601</v>
      </c>
      <c r="D598" s="1758" t="s">
        <v>2637</v>
      </c>
      <c r="E598" s="1759">
        <v>10430</v>
      </c>
      <c r="F598" s="1759">
        <v>6060000</v>
      </c>
      <c r="G598" s="1760" t="s">
        <v>2686</v>
      </c>
      <c r="H598" s="1758" t="s">
        <v>2336</v>
      </c>
      <c r="I598" s="1645" t="s">
        <v>2388</v>
      </c>
      <c r="J598" s="1761" t="s">
        <v>2319</v>
      </c>
      <c r="K598" s="1761" t="s">
        <v>2687</v>
      </c>
      <c r="L598" s="1761" t="s">
        <v>2687</v>
      </c>
      <c r="M598" s="1762">
        <v>98470000</v>
      </c>
      <c r="N598" s="1763" t="s">
        <v>2602</v>
      </c>
      <c r="O598" s="1755"/>
    </row>
    <row r="599" spans="1:15" ht="15">
      <c r="A599" s="1764" t="s">
        <v>2603</v>
      </c>
      <c r="B599" s="1757">
        <v>13</v>
      </c>
      <c r="C599" s="1758" t="s">
        <v>2604</v>
      </c>
      <c r="D599" s="1758" t="s">
        <v>2637</v>
      </c>
      <c r="E599" s="1759">
        <v>10430</v>
      </c>
      <c r="F599" s="1759">
        <v>6060000</v>
      </c>
      <c r="G599" s="1760" t="s">
        <v>2686</v>
      </c>
      <c r="H599" s="1758" t="s">
        <v>2336</v>
      </c>
      <c r="I599" s="1645" t="s">
        <v>2388</v>
      </c>
      <c r="J599" s="1761" t="s">
        <v>2319</v>
      </c>
      <c r="K599" s="1761" t="s">
        <v>2687</v>
      </c>
      <c r="L599" s="1761" t="s">
        <v>2687</v>
      </c>
      <c r="M599" s="1762">
        <v>19060000</v>
      </c>
      <c r="N599" s="1763" t="s">
        <v>2605</v>
      </c>
      <c r="O599" s="1755"/>
    </row>
    <row r="600" spans="1:15" ht="15">
      <c r="A600" s="1764" t="s">
        <v>2606</v>
      </c>
      <c r="B600" s="1757">
        <v>13</v>
      </c>
      <c r="C600" s="1758" t="s">
        <v>2607</v>
      </c>
      <c r="D600" s="1758" t="s">
        <v>2637</v>
      </c>
      <c r="E600" s="1759">
        <v>10430</v>
      </c>
      <c r="F600" s="1759">
        <v>6060000</v>
      </c>
      <c r="G600" s="1760" t="s">
        <v>2686</v>
      </c>
      <c r="H600" s="1758" t="s">
        <v>2336</v>
      </c>
      <c r="I600" s="1645" t="s">
        <v>2388</v>
      </c>
      <c r="J600" s="1761" t="s">
        <v>2319</v>
      </c>
      <c r="K600" s="1761" t="s">
        <v>2687</v>
      </c>
      <c r="L600" s="1761" t="s">
        <v>2687</v>
      </c>
      <c r="M600" s="1762">
        <v>8470000</v>
      </c>
      <c r="N600" s="1763" t="s">
        <v>2608</v>
      </c>
      <c r="O600" s="1755"/>
    </row>
    <row r="601" spans="1:15" ht="15">
      <c r="A601" s="1764" t="s">
        <v>2609</v>
      </c>
      <c r="B601" s="1757">
        <v>13</v>
      </c>
      <c r="C601" s="1758" t="s">
        <v>2610</v>
      </c>
      <c r="D601" s="1758" t="s">
        <v>2637</v>
      </c>
      <c r="E601" s="1759">
        <v>10430</v>
      </c>
      <c r="F601" s="1759">
        <v>6060000</v>
      </c>
      <c r="G601" s="1760" t="s">
        <v>2686</v>
      </c>
      <c r="H601" s="1758" t="s">
        <v>2611</v>
      </c>
      <c r="I601" s="1645" t="s">
        <v>2388</v>
      </c>
      <c r="J601" s="1761" t="s">
        <v>2319</v>
      </c>
      <c r="K601" s="1761" t="s">
        <v>2687</v>
      </c>
      <c r="L601" s="1761" t="s">
        <v>2687</v>
      </c>
      <c r="M601" s="1762">
        <v>31330000</v>
      </c>
      <c r="N601" s="1763" t="s">
        <v>2612</v>
      </c>
      <c r="O601" s="1755"/>
    </row>
    <row r="602" spans="1:15" ht="15">
      <c r="A602" s="1764" t="s">
        <v>2613</v>
      </c>
      <c r="B602" s="1757">
        <v>13</v>
      </c>
      <c r="C602" s="1758" t="s">
        <v>2614</v>
      </c>
      <c r="D602" s="1758" t="s">
        <v>2637</v>
      </c>
      <c r="E602" s="1759">
        <v>10430</v>
      </c>
      <c r="F602" s="1759">
        <v>6060000</v>
      </c>
      <c r="G602" s="1760" t="s">
        <v>2686</v>
      </c>
      <c r="H602" s="1758" t="s">
        <v>2611</v>
      </c>
      <c r="I602" s="1645" t="s">
        <v>2388</v>
      </c>
      <c r="J602" s="1761" t="s">
        <v>2319</v>
      </c>
      <c r="K602" s="1761" t="s">
        <v>2687</v>
      </c>
      <c r="L602" s="1761" t="s">
        <v>2687</v>
      </c>
      <c r="M602" s="1762">
        <v>7420000</v>
      </c>
      <c r="N602" s="1763" t="s">
        <v>2615</v>
      </c>
      <c r="O602" s="1755"/>
    </row>
    <row r="603" spans="1:15" ht="15">
      <c r="A603" s="1756" t="s">
        <v>2616</v>
      </c>
      <c r="B603" s="1757">
        <v>13</v>
      </c>
      <c r="C603" s="1645" t="s">
        <v>2617</v>
      </c>
      <c r="D603" s="1758" t="s">
        <v>2637</v>
      </c>
      <c r="E603" s="1759">
        <v>10430</v>
      </c>
      <c r="F603" s="1759">
        <v>6060000</v>
      </c>
      <c r="G603" s="1760" t="s">
        <v>2686</v>
      </c>
      <c r="H603" s="1645" t="s">
        <v>2618</v>
      </c>
      <c r="I603" s="1645" t="s">
        <v>2388</v>
      </c>
      <c r="J603" s="1761" t="s">
        <v>2319</v>
      </c>
      <c r="K603" s="1761" t="s">
        <v>2687</v>
      </c>
      <c r="L603" s="1761" t="s">
        <v>2687</v>
      </c>
      <c r="M603" s="1762">
        <v>16290000</v>
      </c>
      <c r="N603" s="1766" t="s">
        <v>2619</v>
      </c>
      <c r="O603" s="1755"/>
    </row>
    <row r="604" spans="1:15" ht="15.75" thickBot="1">
      <c r="A604" s="1767" t="s">
        <v>2620</v>
      </c>
      <c r="B604" s="1768"/>
      <c r="C604" s="1769" t="s">
        <v>2621</v>
      </c>
      <c r="D604" s="1769" t="s">
        <v>2637</v>
      </c>
      <c r="E604" s="1770">
        <v>10430</v>
      </c>
      <c r="F604" s="1770">
        <v>6060000</v>
      </c>
      <c r="G604" s="1771" t="s">
        <v>2686</v>
      </c>
      <c r="H604" s="1769" t="s">
        <v>2618</v>
      </c>
      <c r="I604" s="1772" t="s">
        <v>2388</v>
      </c>
      <c r="J604" s="1773" t="s">
        <v>2319</v>
      </c>
      <c r="K604" s="1773" t="s">
        <v>2687</v>
      </c>
      <c r="L604" s="1773" t="s">
        <v>2687</v>
      </c>
      <c r="M604" s="1774">
        <v>11210000</v>
      </c>
      <c r="N604" s="1775" t="s">
        <v>2622</v>
      </c>
      <c r="O604" s="1755"/>
    </row>
    <row r="605" spans="1:15" ht="15.75" thickBot="1">
      <c r="A605" s="1776"/>
      <c r="B605" s="1777"/>
      <c r="C605" s="1778"/>
      <c r="D605" s="1779"/>
      <c r="E605" s="1777" t="s">
        <v>2688</v>
      </c>
      <c r="F605" s="1777"/>
      <c r="G605" s="1779"/>
      <c r="H605" s="1779"/>
      <c r="I605" s="1778"/>
      <c r="J605" s="1778"/>
      <c r="K605" s="1778"/>
      <c r="L605" s="1778"/>
      <c r="M605" s="1780">
        <f>SUM(M606:M607)</f>
        <v>3597290000</v>
      </c>
      <c r="N605" s="1781"/>
      <c r="O605" s="1755"/>
    </row>
    <row r="606" spans="1:15" ht="15">
      <c r="A606" s="1782" t="s">
        <v>2316</v>
      </c>
      <c r="B606" s="1630">
        <v>13</v>
      </c>
      <c r="C606" s="1630" t="s">
        <v>2384</v>
      </c>
      <c r="D606" s="1630" t="s">
        <v>2637</v>
      </c>
      <c r="E606" s="1783">
        <v>10430</v>
      </c>
      <c r="F606" s="1750">
        <v>6060000</v>
      </c>
      <c r="G606" s="1749" t="s">
        <v>2686</v>
      </c>
      <c r="H606" s="1630">
        <v>3535</v>
      </c>
      <c r="I606" s="1635" t="s">
        <v>2387</v>
      </c>
      <c r="J606" s="1752" t="s">
        <v>2319</v>
      </c>
      <c r="K606" s="1752" t="s">
        <v>2687</v>
      </c>
      <c r="L606" s="1752" t="s">
        <v>2687</v>
      </c>
      <c r="M606" s="1784">
        <f>SUM(M483:M543)</f>
        <v>797280000</v>
      </c>
      <c r="N606" s="1785" t="s">
        <v>2689</v>
      </c>
      <c r="O606" s="1755"/>
    </row>
    <row r="607" spans="1:15" ht="15.75" thickBot="1">
      <c r="A607" s="1786" t="s">
        <v>2316</v>
      </c>
      <c r="B607" s="1651">
        <v>13</v>
      </c>
      <c r="C607" s="1651" t="s">
        <v>2384</v>
      </c>
      <c r="D607" s="1651" t="s">
        <v>2637</v>
      </c>
      <c r="E607" s="1787">
        <v>10430</v>
      </c>
      <c r="F607" s="1788">
        <v>6060000</v>
      </c>
      <c r="G607" s="1789" t="s">
        <v>2686</v>
      </c>
      <c r="H607" s="1651">
        <v>3535</v>
      </c>
      <c r="I607" s="1656" t="s">
        <v>2388</v>
      </c>
      <c r="J607" s="1790" t="s">
        <v>2319</v>
      </c>
      <c r="K607" s="1790" t="s">
        <v>2687</v>
      </c>
      <c r="L607" s="1790" t="s">
        <v>2687</v>
      </c>
      <c r="M607" s="1791">
        <f>SUM(M544:M604)</f>
        <v>2800010000</v>
      </c>
      <c r="N607" s="1792" t="s">
        <v>2689</v>
      </c>
      <c r="O607" s="1755"/>
    </row>
    <row r="608" spans="1:15" ht="15">
      <c r="A608" s="1793"/>
      <c r="B608" s="1794"/>
      <c r="C608" s="1794"/>
      <c r="D608" s="1794"/>
      <c r="E608" s="1795"/>
      <c r="F608" s="1796"/>
      <c r="G608" s="1797"/>
      <c r="H608" s="1794"/>
      <c r="I608" s="1693"/>
      <c r="J608" s="1798"/>
      <c r="K608" s="1798"/>
      <c r="L608" s="1798"/>
      <c r="M608" s="1799"/>
      <c r="N608" s="1800"/>
      <c r="O608" s="1755"/>
    </row>
    <row r="609" spans="1:15" ht="15">
      <c r="A609" s="1801"/>
      <c r="B609" s="1802"/>
      <c r="C609" s="1802"/>
      <c r="D609" s="1802"/>
      <c r="E609" s="1803"/>
      <c r="F609" s="1796"/>
      <c r="G609" s="1804"/>
      <c r="H609" s="1802"/>
      <c r="I609" s="1693"/>
      <c r="J609" s="1798"/>
      <c r="K609" s="1798"/>
      <c r="L609" s="1798"/>
      <c r="M609" s="1805" t="s">
        <v>2690</v>
      </c>
      <c r="N609" s="1800"/>
      <c r="O609" s="1755"/>
    </row>
    <row r="610" spans="1:15" ht="15">
      <c r="A610" s="1801"/>
      <c r="B610" s="1802"/>
      <c r="C610" s="1802"/>
      <c r="D610" s="1802"/>
      <c r="E610" s="1803"/>
      <c r="F610" s="1796"/>
      <c r="G610" s="1804"/>
      <c r="H610" s="1802"/>
      <c r="I610" s="1693"/>
      <c r="J610" s="1798"/>
      <c r="K610" s="1798"/>
      <c r="L610" s="1798"/>
      <c r="M610" s="1806" t="s">
        <v>2691</v>
      </c>
      <c r="N610" s="1800"/>
      <c r="O610" s="1755"/>
    </row>
    <row r="611" spans="1:15" ht="15">
      <c r="A611" s="1801"/>
      <c r="B611" s="1802"/>
      <c r="C611" s="1802"/>
      <c r="D611" s="1802"/>
      <c r="E611" s="1803"/>
      <c r="F611" s="1796"/>
      <c r="G611" s="1804"/>
      <c r="H611" s="1802"/>
      <c r="I611" s="1693"/>
      <c r="J611" s="1798"/>
      <c r="K611" s="1798"/>
      <c r="L611" s="1798"/>
      <c r="M611" s="1806" t="s">
        <v>2692</v>
      </c>
      <c r="N611" s="1800"/>
      <c r="O611" s="1755"/>
    </row>
    <row r="612" spans="1:15" ht="15">
      <c r="A612" s="1801"/>
      <c r="B612" s="1802"/>
      <c r="C612" s="1802"/>
      <c r="D612" s="1802"/>
      <c r="E612" s="1803"/>
      <c r="F612" s="1796"/>
      <c r="G612" s="1804"/>
      <c r="H612" s="1802"/>
      <c r="I612" s="1693"/>
      <c r="J612" s="1798"/>
      <c r="K612" s="1798"/>
      <c r="L612" s="1798"/>
      <c r="M612" s="1806" t="s">
        <v>2693</v>
      </c>
      <c r="N612" s="1800"/>
      <c r="O612" s="1755"/>
    </row>
    <row r="613" spans="1:15" ht="15">
      <c r="A613" s="1801"/>
      <c r="B613" s="1802"/>
      <c r="C613" s="1802"/>
      <c r="D613" s="1802"/>
      <c r="E613" s="1803"/>
      <c r="F613" s="1796"/>
      <c r="G613" s="1804"/>
      <c r="H613" s="1802"/>
      <c r="I613" s="1693"/>
      <c r="J613" s="1798"/>
      <c r="K613" s="1798"/>
      <c r="L613" s="1798"/>
      <c r="M613" s="1806" t="s">
        <v>2694</v>
      </c>
      <c r="N613" s="1800"/>
      <c r="O613" s="1755"/>
    </row>
    <row r="614" spans="1:15" ht="15">
      <c r="A614" s="1801"/>
      <c r="B614" s="1802"/>
      <c r="C614" s="1802"/>
      <c r="D614" s="1802"/>
      <c r="E614" s="1803"/>
      <c r="F614" s="1796"/>
      <c r="G614" s="1804"/>
      <c r="H614" s="1802"/>
      <c r="I614" s="1693"/>
      <c r="J614" s="1798"/>
      <c r="K614" s="1798"/>
      <c r="L614" s="1798"/>
      <c r="M614" s="1807"/>
      <c r="N614" s="1800"/>
      <c r="O614" s="1755"/>
    </row>
    <row r="615" spans="1:15" ht="15">
      <c r="A615" s="1808"/>
      <c r="B615" s="1808"/>
      <c r="C615" s="1755" t="s">
        <v>2695</v>
      </c>
      <c r="D615" s="1809"/>
      <c r="E615" s="1808"/>
      <c r="F615" s="1808"/>
      <c r="G615" s="1809"/>
      <c r="H615" s="1809"/>
      <c r="I615" s="1755"/>
      <c r="J615" s="1755"/>
      <c r="K615" s="1755"/>
      <c r="L615" s="1755"/>
      <c r="M615" s="1807"/>
      <c r="N615" s="1610"/>
      <c r="O615" s="1755"/>
    </row>
    <row r="616" spans="1:15" ht="15.75" thickBot="1">
      <c r="A616" s="1808"/>
      <c r="B616" s="1808"/>
      <c r="C616" s="1755"/>
      <c r="D616" s="1809"/>
      <c r="E616" s="1808"/>
      <c r="F616" s="1808"/>
      <c r="G616" s="1809"/>
      <c r="H616" s="1809"/>
      <c r="I616" s="1755"/>
      <c r="J616" s="1755"/>
      <c r="K616" s="1755"/>
      <c r="L616" s="1755"/>
      <c r="M616" s="1807"/>
      <c r="N616" s="1610"/>
      <c r="O616" s="1755"/>
    </row>
    <row r="617" spans="1:15" ht="45.75" thickBot="1">
      <c r="A617" s="1810" t="s">
        <v>2696</v>
      </c>
      <c r="B617" s="1731" t="s">
        <v>2303</v>
      </c>
      <c r="C617" s="1811" t="s">
        <v>2304</v>
      </c>
      <c r="D617" s="1731" t="s">
        <v>2305</v>
      </c>
      <c r="E617" s="1812" t="s">
        <v>2306</v>
      </c>
      <c r="F617" s="1731" t="s">
        <v>2307</v>
      </c>
      <c r="G617" s="1811" t="s">
        <v>87</v>
      </c>
      <c r="H617" s="1813" t="s">
        <v>2682</v>
      </c>
      <c r="I617" s="1814" t="s">
        <v>2633</v>
      </c>
      <c r="J617" s="1735" t="s">
        <v>2634</v>
      </c>
      <c r="K617" s="1814" t="s">
        <v>2683</v>
      </c>
      <c r="L617" s="1735" t="s">
        <v>2684</v>
      </c>
      <c r="M617" s="1815" t="s">
        <v>2685</v>
      </c>
      <c r="N617" s="1731" t="s">
        <v>2314</v>
      </c>
      <c r="O617" s="1816" t="s">
        <v>2315</v>
      </c>
    </row>
    <row r="618" spans="1:15" ht="15.75" thickBot="1">
      <c r="A618" s="1817"/>
      <c r="B618" s="1818"/>
      <c r="C618" s="1818"/>
      <c r="D618" s="1818"/>
      <c r="E618" s="1819" t="s">
        <v>2636</v>
      </c>
      <c r="F618" s="1818"/>
      <c r="G618" s="1818"/>
      <c r="H618" s="1820"/>
      <c r="I618" s="1821"/>
      <c r="J618" s="1821"/>
      <c r="K618" s="1821"/>
      <c r="L618" s="1821"/>
      <c r="M618" s="1822"/>
      <c r="N618" s="1823">
        <f>SUM(N619:N679)</f>
        <v>3597290000</v>
      </c>
      <c r="O618" s="1824"/>
    </row>
    <row r="619" spans="1:15" ht="15">
      <c r="A619" s="1747" t="s">
        <v>2697</v>
      </c>
      <c r="B619" s="1749" t="s">
        <v>2417</v>
      </c>
      <c r="C619" s="1748">
        <v>13</v>
      </c>
      <c r="D619" s="1749" t="s">
        <v>2418</v>
      </c>
      <c r="E619" s="1749" t="s">
        <v>2637</v>
      </c>
      <c r="F619" s="1750">
        <v>10430</v>
      </c>
      <c r="G619" s="1750">
        <v>6029999</v>
      </c>
      <c r="H619" s="1751" t="s">
        <v>2686</v>
      </c>
      <c r="I619" s="1749" t="s">
        <v>2361</v>
      </c>
      <c r="J619" s="1635" t="s">
        <v>2686</v>
      </c>
      <c r="K619" s="1752" t="s">
        <v>2319</v>
      </c>
      <c r="L619" s="1752" t="s">
        <v>2687</v>
      </c>
      <c r="M619" s="1679" t="s">
        <v>2687</v>
      </c>
      <c r="N619" s="1753">
        <v>65670000</v>
      </c>
      <c r="O619" s="1754" t="s">
        <v>2419</v>
      </c>
    </row>
    <row r="620" spans="1:15" ht="15">
      <c r="A620" s="1764" t="s">
        <v>2697</v>
      </c>
      <c r="B620" s="1645" t="s">
        <v>2420</v>
      </c>
      <c r="C620" s="1757">
        <v>13</v>
      </c>
      <c r="D620" s="1645" t="s">
        <v>2421</v>
      </c>
      <c r="E620" s="1758" t="s">
        <v>2637</v>
      </c>
      <c r="F620" s="1759">
        <v>10430</v>
      </c>
      <c r="G620" s="1759">
        <v>6029999</v>
      </c>
      <c r="H620" s="1760" t="s">
        <v>2686</v>
      </c>
      <c r="I620" s="1758" t="s">
        <v>2361</v>
      </c>
      <c r="J620" s="1645" t="s">
        <v>2686</v>
      </c>
      <c r="K620" s="1761" t="s">
        <v>2319</v>
      </c>
      <c r="L620" s="1761" t="s">
        <v>2687</v>
      </c>
      <c r="M620" s="1825" t="s">
        <v>2687</v>
      </c>
      <c r="N620" s="1762">
        <v>25990000</v>
      </c>
      <c r="O620" s="1763" t="s">
        <v>2422</v>
      </c>
    </row>
    <row r="621" spans="1:15" ht="15">
      <c r="A621" s="1764" t="s">
        <v>2697</v>
      </c>
      <c r="B621" s="1758" t="s">
        <v>2423</v>
      </c>
      <c r="C621" s="1757">
        <v>13</v>
      </c>
      <c r="D621" s="1758" t="s">
        <v>2424</v>
      </c>
      <c r="E621" s="1758" t="s">
        <v>2637</v>
      </c>
      <c r="F621" s="1759">
        <v>10430</v>
      </c>
      <c r="G621" s="1759">
        <v>6029999</v>
      </c>
      <c r="H621" s="1760" t="s">
        <v>2686</v>
      </c>
      <c r="I621" s="1758" t="s">
        <v>2425</v>
      </c>
      <c r="J621" s="1645" t="s">
        <v>2686</v>
      </c>
      <c r="K621" s="1761" t="s">
        <v>2319</v>
      </c>
      <c r="L621" s="1761" t="s">
        <v>2687</v>
      </c>
      <c r="M621" s="1825" t="s">
        <v>2687</v>
      </c>
      <c r="N621" s="1762">
        <v>35180000</v>
      </c>
      <c r="O621" s="1763" t="s">
        <v>2426</v>
      </c>
    </row>
    <row r="622" spans="1:15" ht="15">
      <c r="A622" s="1764" t="s">
        <v>2697</v>
      </c>
      <c r="B622" s="1758" t="s">
        <v>2427</v>
      </c>
      <c r="C622" s="1757">
        <v>13</v>
      </c>
      <c r="D622" s="1758" t="s">
        <v>2428</v>
      </c>
      <c r="E622" s="1758" t="s">
        <v>2637</v>
      </c>
      <c r="F622" s="1759">
        <v>10430</v>
      </c>
      <c r="G622" s="1759">
        <v>6029999</v>
      </c>
      <c r="H622" s="1760" t="s">
        <v>2686</v>
      </c>
      <c r="I622" s="1758" t="s">
        <v>2333</v>
      </c>
      <c r="J622" s="1645" t="s">
        <v>2686</v>
      </c>
      <c r="K622" s="1761" t="s">
        <v>2319</v>
      </c>
      <c r="L622" s="1761" t="s">
        <v>2687</v>
      </c>
      <c r="M622" s="1825" t="s">
        <v>2687</v>
      </c>
      <c r="N622" s="1762">
        <v>19800000</v>
      </c>
      <c r="O622" s="1763" t="s">
        <v>2429</v>
      </c>
    </row>
    <row r="623" spans="1:15" ht="15">
      <c r="A623" s="1764" t="s">
        <v>2697</v>
      </c>
      <c r="B623" s="1758" t="s">
        <v>2331</v>
      </c>
      <c r="C623" s="1757">
        <v>13</v>
      </c>
      <c r="D623" s="1758" t="s">
        <v>2430</v>
      </c>
      <c r="E623" s="1758" t="s">
        <v>2637</v>
      </c>
      <c r="F623" s="1759">
        <v>10430</v>
      </c>
      <c r="G623" s="1759">
        <v>6029999</v>
      </c>
      <c r="H623" s="1760" t="s">
        <v>2686</v>
      </c>
      <c r="I623" s="1758" t="s">
        <v>2333</v>
      </c>
      <c r="J623" s="1645" t="s">
        <v>2686</v>
      </c>
      <c r="K623" s="1761" t="s">
        <v>2319</v>
      </c>
      <c r="L623" s="1761" t="s">
        <v>2687</v>
      </c>
      <c r="M623" s="1825" t="s">
        <v>2687</v>
      </c>
      <c r="N623" s="1762">
        <v>16170000</v>
      </c>
      <c r="O623" s="1763" t="s">
        <v>2431</v>
      </c>
    </row>
    <row r="624" spans="1:15" ht="15">
      <c r="A624" s="1764" t="s">
        <v>2697</v>
      </c>
      <c r="B624" s="1758">
        <v>106</v>
      </c>
      <c r="C624" s="1757">
        <v>13</v>
      </c>
      <c r="D624" s="1758">
        <v>2106001</v>
      </c>
      <c r="E624" s="1758" t="s">
        <v>2637</v>
      </c>
      <c r="F624" s="1759">
        <v>10430</v>
      </c>
      <c r="G624" s="1759">
        <v>6029999</v>
      </c>
      <c r="H624" s="1760" t="s">
        <v>2686</v>
      </c>
      <c r="I624" s="1758" t="s">
        <v>2392</v>
      </c>
      <c r="J624" s="1645" t="s">
        <v>2686</v>
      </c>
      <c r="K624" s="1761" t="s">
        <v>2319</v>
      </c>
      <c r="L624" s="1761" t="s">
        <v>2687</v>
      </c>
      <c r="M624" s="1825" t="s">
        <v>2687</v>
      </c>
      <c r="N624" s="1762">
        <v>136270000</v>
      </c>
      <c r="O624" s="1763" t="s">
        <v>2432</v>
      </c>
    </row>
    <row r="625" spans="1:15" ht="15">
      <c r="A625" s="1764" t="s">
        <v>2697</v>
      </c>
      <c r="B625" s="1758" t="s">
        <v>2433</v>
      </c>
      <c r="C625" s="1757">
        <v>13</v>
      </c>
      <c r="D625" s="1758" t="s">
        <v>2434</v>
      </c>
      <c r="E625" s="1758" t="s">
        <v>2637</v>
      </c>
      <c r="F625" s="1759">
        <v>10430</v>
      </c>
      <c r="G625" s="1759">
        <v>6029999</v>
      </c>
      <c r="H625" s="1760" t="s">
        <v>2686</v>
      </c>
      <c r="I625" s="1758" t="s">
        <v>2435</v>
      </c>
      <c r="J625" s="1645" t="s">
        <v>2686</v>
      </c>
      <c r="K625" s="1761" t="s">
        <v>2319</v>
      </c>
      <c r="L625" s="1761" t="s">
        <v>2687</v>
      </c>
      <c r="M625" s="1825" t="s">
        <v>2687</v>
      </c>
      <c r="N625" s="1762">
        <v>47490000</v>
      </c>
      <c r="O625" s="1763" t="s">
        <v>2436</v>
      </c>
    </row>
    <row r="626" spans="1:15" ht="15">
      <c r="A626" s="1764" t="s">
        <v>2697</v>
      </c>
      <c r="B626" s="1758" t="s">
        <v>2437</v>
      </c>
      <c r="C626" s="1757">
        <v>13</v>
      </c>
      <c r="D626" s="1758" t="s">
        <v>2438</v>
      </c>
      <c r="E626" s="1758" t="s">
        <v>2637</v>
      </c>
      <c r="F626" s="1759">
        <v>10430</v>
      </c>
      <c r="G626" s="1759">
        <v>6029999</v>
      </c>
      <c r="H626" s="1760" t="s">
        <v>2686</v>
      </c>
      <c r="I626" s="1765" t="s">
        <v>2439</v>
      </c>
      <c r="J626" s="1645" t="s">
        <v>2686</v>
      </c>
      <c r="K626" s="1761" t="s">
        <v>2319</v>
      </c>
      <c r="L626" s="1761" t="s">
        <v>2687</v>
      </c>
      <c r="M626" s="1825" t="s">
        <v>2687</v>
      </c>
      <c r="N626" s="1762">
        <v>49930000</v>
      </c>
      <c r="O626" s="1763" t="s">
        <v>2440</v>
      </c>
    </row>
    <row r="627" spans="1:15" ht="15">
      <c r="A627" s="1764" t="s">
        <v>2697</v>
      </c>
      <c r="B627" s="1758" t="s">
        <v>2441</v>
      </c>
      <c r="C627" s="1757">
        <v>13</v>
      </c>
      <c r="D627" s="1758" t="s">
        <v>2442</v>
      </c>
      <c r="E627" s="1758" t="s">
        <v>2637</v>
      </c>
      <c r="F627" s="1759">
        <v>10430</v>
      </c>
      <c r="G627" s="1759">
        <v>6029999</v>
      </c>
      <c r="H627" s="1760" t="s">
        <v>2686</v>
      </c>
      <c r="I627" s="1765" t="s">
        <v>2439</v>
      </c>
      <c r="J627" s="1645" t="s">
        <v>2686</v>
      </c>
      <c r="K627" s="1761" t="s">
        <v>2319</v>
      </c>
      <c r="L627" s="1761" t="s">
        <v>2687</v>
      </c>
      <c r="M627" s="1825" t="s">
        <v>2687</v>
      </c>
      <c r="N627" s="1762">
        <v>52620000</v>
      </c>
      <c r="O627" s="1763" t="s">
        <v>2443</v>
      </c>
    </row>
    <row r="628" spans="1:15" ht="15">
      <c r="A628" s="1764" t="s">
        <v>2697</v>
      </c>
      <c r="B628" s="1758" t="s">
        <v>2444</v>
      </c>
      <c r="C628" s="1757">
        <v>13</v>
      </c>
      <c r="D628" s="1758" t="s">
        <v>2445</v>
      </c>
      <c r="E628" s="1758" t="s">
        <v>2637</v>
      </c>
      <c r="F628" s="1759">
        <v>10430</v>
      </c>
      <c r="G628" s="1759">
        <v>6029999</v>
      </c>
      <c r="H628" s="1760" t="s">
        <v>2686</v>
      </c>
      <c r="I628" s="1758" t="s">
        <v>2349</v>
      </c>
      <c r="J628" s="1645" t="s">
        <v>2686</v>
      </c>
      <c r="K628" s="1761" t="s">
        <v>2319</v>
      </c>
      <c r="L628" s="1761" t="s">
        <v>2687</v>
      </c>
      <c r="M628" s="1825" t="s">
        <v>2687</v>
      </c>
      <c r="N628" s="1762">
        <v>161720000</v>
      </c>
      <c r="O628" s="1763" t="s">
        <v>2446</v>
      </c>
    </row>
    <row r="629" spans="1:15" ht="15">
      <c r="A629" s="1764" t="s">
        <v>2697</v>
      </c>
      <c r="B629" s="1758" t="s">
        <v>2447</v>
      </c>
      <c r="C629" s="1757">
        <v>13</v>
      </c>
      <c r="D629" s="1758" t="s">
        <v>2448</v>
      </c>
      <c r="E629" s="1758" t="s">
        <v>2637</v>
      </c>
      <c r="F629" s="1759">
        <v>10430</v>
      </c>
      <c r="G629" s="1759">
        <v>6029999</v>
      </c>
      <c r="H629" s="1760" t="s">
        <v>2686</v>
      </c>
      <c r="I629" s="1758" t="s">
        <v>2349</v>
      </c>
      <c r="J629" s="1645" t="s">
        <v>2686</v>
      </c>
      <c r="K629" s="1761" t="s">
        <v>2319</v>
      </c>
      <c r="L629" s="1761" t="s">
        <v>2687</v>
      </c>
      <c r="M629" s="1825" t="s">
        <v>2687</v>
      </c>
      <c r="N629" s="1762">
        <v>28800000</v>
      </c>
      <c r="O629" s="1763" t="s">
        <v>2449</v>
      </c>
    </row>
    <row r="630" spans="1:15" ht="15">
      <c r="A630" s="1764" t="s">
        <v>2697</v>
      </c>
      <c r="B630" s="1758" t="s">
        <v>2450</v>
      </c>
      <c r="C630" s="1757">
        <v>13</v>
      </c>
      <c r="D630" s="1758" t="s">
        <v>2451</v>
      </c>
      <c r="E630" s="1758" t="s">
        <v>2637</v>
      </c>
      <c r="F630" s="1759">
        <v>10430</v>
      </c>
      <c r="G630" s="1759">
        <v>6029999</v>
      </c>
      <c r="H630" s="1760" t="s">
        <v>2686</v>
      </c>
      <c r="I630" s="1758" t="s">
        <v>2452</v>
      </c>
      <c r="J630" s="1645" t="s">
        <v>2686</v>
      </c>
      <c r="K630" s="1761" t="s">
        <v>2319</v>
      </c>
      <c r="L630" s="1761" t="s">
        <v>2687</v>
      </c>
      <c r="M630" s="1825" t="s">
        <v>2687</v>
      </c>
      <c r="N630" s="1762">
        <v>67220000</v>
      </c>
      <c r="O630" s="1763" t="s">
        <v>2453</v>
      </c>
    </row>
    <row r="631" spans="1:15" ht="15">
      <c r="A631" s="1764" t="s">
        <v>2697</v>
      </c>
      <c r="B631" s="1758" t="s">
        <v>2454</v>
      </c>
      <c r="C631" s="1757">
        <v>13</v>
      </c>
      <c r="D631" s="1758" t="s">
        <v>2455</v>
      </c>
      <c r="E631" s="1758" t="s">
        <v>2637</v>
      </c>
      <c r="F631" s="1759">
        <v>10430</v>
      </c>
      <c r="G631" s="1759">
        <v>6029999</v>
      </c>
      <c r="H631" s="1760" t="s">
        <v>2686</v>
      </c>
      <c r="I631" s="1758" t="s">
        <v>2397</v>
      </c>
      <c r="J631" s="1645" t="s">
        <v>2686</v>
      </c>
      <c r="K631" s="1761" t="s">
        <v>2319</v>
      </c>
      <c r="L631" s="1761" t="s">
        <v>2687</v>
      </c>
      <c r="M631" s="1825" t="s">
        <v>2687</v>
      </c>
      <c r="N631" s="1762">
        <v>271920000</v>
      </c>
      <c r="O631" s="1763" t="s">
        <v>2456</v>
      </c>
    </row>
    <row r="632" spans="1:15" ht="15">
      <c r="A632" s="1764" t="s">
        <v>2697</v>
      </c>
      <c r="B632" s="1758" t="s">
        <v>2457</v>
      </c>
      <c r="C632" s="1757">
        <v>13</v>
      </c>
      <c r="D632" s="1758" t="s">
        <v>2458</v>
      </c>
      <c r="E632" s="1758" t="s">
        <v>2637</v>
      </c>
      <c r="F632" s="1759">
        <v>10430</v>
      </c>
      <c r="G632" s="1759">
        <v>6029999</v>
      </c>
      <c r="H632" s="1760" t="s">
        <v>2686</v>
      </c>
      <c r="I632" s="1758" t="s">
        <v>2397</v>
      </c>
      <c r="J632" s="1645" t="s">
        <v>2686</v>
      </c>
      <c r="K632" s="1761" t="s">
        <v>2319</v>
      </c>
      <c r="L632" s="1761" t="s">
        <v>2687</v>
      </c>
      <c r="M632" s="1825" t="s">
        <v>2687</v>
      </c>
      <c r="N632" s="1762">
        <v>44760000</v>
      </c>
      <c r="O632" s="1763" t="s">
        <v>2459</v>
      </c>
    </row>
    <row r="633" spans="1:15" ht="15">
      <c r="A633" s="1764" t="s">
        <v>2697</v>
      </c>
      <c r="B633" s="1758" t="s">
        <v>2460</v>
      </c>
      <c r="C633" s="1757">
        <v>13</v>
      </c>
      <c r="D633" s="1758" t="s">
        <v>2461</v>
      </c>
      <c r="E633" s="1758" t="s">
        <v>2637</v>
      </c>
      <c r="F633" s="1759">
        <v>10430</v>
      </c>
      <c r="G633" s="1759">
        <v>6029999</v>
      </c>
      <c r="H633" s="1760" t="s">
        <v>2686</v>
      </c>
      <c r="I633" s="1758" t="s">
        <v>2397</v>
      </c>
      <c r="J633" s="1645" t="s">
        <v>2686</v>
      </c>
      <c r="K633" s="1761" t="s">
        <v>2319</v>
      </c>
      <c r="L633" s="1761" t="s">
        <v>2687</v>
      </c>
      <c r="M633" s="1825" t="s">
        <v>2687</v>
      </c>
      <c r="N633" s="1762">
        <v>35420000</v>
      </c>
      <c r="O633" s="1763" t="s">
        <v>2462</v>
      </c>
    </row>
    <row r="634" spans="1:15" ht="15">
      <c r="A634" s="1764" t="s">
        <v>2697</v>
      </c>
      <c r="B634" s="1758" t="s">
        <v>2463</v>
      </c>
      <c r="C634" s="1757">
        <v>13</v>
      </c>
      <c r="D634" s="1758" t="s">
        <v>2464</v>
      </c>
      <c r="E634" s="1758" t="s">
        <v>2637</v>
      </c>
      <c r="F634" s="1759">
        <v>10430</v>
      </c>
      <c r="G634" s="1759">
        <v>6029999</v>
      </c>
      <c r="H634" s="1760" t="s">
        <v>2686</v>
      </c>
      <c r="I634" s="1758" t="s">
        <v>2465</v>
      </c>
      <c r="J634" s="1645" t="s">
        <v>2686</v>
      </c>
      <c r="K634" s="1761" t="s">
        <v>2319</v>
      </c>
      <c r="L634" s="1761" t="s">
        <v>2687</v>
      </c>
      <c r="M634" s="1825" t="s">
        <v>2687</v>
      </c>
      <c r="N634" s="1762">
        <v>51750000</v>
      </c>
      <c r="O634" s="1763" t="s">
        <v>2466</v>
      </c>
    </row>
    <row r="635" spans="1:15" ht="15">
      <c r="A635" s="1764" t="s">
        <v>2697</v>
      </c>
      <c r="B635" s="1758" t="s">
        <v>2467</v>
      </c>
      <c r="C635" s="1757">
        <v>13</v>
      </c>
      <c r="D635" s="1758" t="s">
        <v>2468</v>
      </c>
      <c r="E635" s="1758" t="s">
        <v>2637</v>
      </c>
      <c r="F635" s="1759">
        <v>10430</v>
      </c>
      <c r="G635" s="1759">
        <v>6029999</v>
      </c>
      <c r="H635" s="1760" t="s">
        <v>2686</v>
      </c>
      <c r="I635" s="1758" t="s">
        <v>2469</v>
      </c>
      <c r="J635" s="1645" t="s">
        <v>2686</v>
      </c>
      <c r="K635" s="1761" t="s">
        <v>2319</v>
      </c>
      <c r="L635" s="1761" t="s">
        <v>2687</v>
      </c>
      <c r="M635" s="1825" t="s">
        <v>2687</v>
      </c>
      <c r="N635" s="1762">
        <v>68470000</v>
      </c>
      <c r="O635" s="1763" t="s">
        <v>2470</v>
      </c>
    </row>
    <row r="636" spans="1:15" ht="15">
      <c r="A636" s="1764" t="s">
        <v>2697</v>
      </c>
      <c r="B636" s="1758" t="s">
        <v>2471</v>
      </c>
      <c r="C636" s="1757">
        <v>13</v>
      </c>
      <c r="D636" s="1758" t="s">
        <v>2472</v>
      </c>
      <c r="E636" s="1758" t="s">
        <v>2637</v>
      </c>
      <c r="F636" s="1759">
        <v>10430</v>
      </c>
      <c r="G636" s="1759">
        <v>6029999</v>
      </c>
      <c r="H636" s="1760" t="s">
        <v>2686</v>
      </c>
      <c r="I636" s="1758" t="s">
        <v>2473</v>
      </c>
      <c r="J636" s="1645" t="s">
        <v>2686</v>
      </c>
      <c r="K636" s="1761" t="s">
        <v>2319</v>
      </c>
      <c r="L636" s="1761" t="s">
        <v>2687</v>
      </c>
      <c r="M636" s="1825" t="s">
        <v>2687</v>
      </c>
      <c r="N636" s="1762">
        <v>83160000</v>
      </c>
      <c r="O636" s="1763" t="s">
        <v>2474</v>
      </c>
    </row>
    <row r="637" spans="1:15" ht="15">
      <c r="A637" s="1764" t="s">
        <v>2697</v>
      </c>
      <c r="B637" s="1758" t="s">
        <v>2475</v>
      </c>
      <c r="C637" s="1757">
        <v>13</v>
      </c>
      <c r="D637" s="1758" t="s">
        <v>2476</v>
      </c>
      <c r="E637" s="1758" t="s">
        <v>2637</v>
      </c>
      <c r="F637" s="1759">
        <v>10430</v>
      </c>
      <c r="G637" s="1759">
        <v>6029999</v>
      </c>
      <c r="H637" s="1760" t="s">
        <v>2686</v>
      </c>
      <c r="I637" s="1758" t="s">
        <v>2473</v>
      </c>
      <c r="J637" s="1645" t="s">
        <v>2686</v>
      </c>
      <c r="K637" s="1761" t="s">
        <v>2319</v>
      </c>
      <c r="L637" s="1761" t="s">
        <v>2687</v>
      </c>
      <c r="M637" s="1825" t="s">
        <v>2687</v>
      </c>
      <c r="N637" s="1762">
        <f>65450000+28150000+1550000</f>
        <v>95150000</v>
      </c>
      <c r="O637" s="1763" t="s">
        <v>2477</v>
      </c>
    </row>
    <row r="638" spans="1:15" ht="15">
      <c r="A638" s="1764" t="s">
        <v>2697</v>
      </c>
      <c r="B638" s="1758" t="s">
        <v>2478</v>
      </c>
      <c r="C638" s="1757">
        <v>13</v>
      </c>
      <c r="D638" s="1758" t="s">
        <v>2479</v>
      </c>
      <c r="E638" s="1758" t="s">
        <v>2637</v>
      </c>
      <c r="F638" s="1759">
        <v>10430</v>
      </c>
      <c r="G638" s="1759">
        <v>6029999</v>
      </c>
      <c r="H638" s="1760" t="s">
        <v>2686</v>
      </c>
      <c r="I638" s="1758" t="s">
        <v>2325</v>
      </c>
      <c r="J638" s="1645" t="s">
        <v>2686</v>
      </c>
      <c r="K638" s="1761" t="s">
        <v>2319</v>
      </c>
      <c r="L638" s="1761" t="s">
        <v>2687</v>
      </c>
      <c r="M638" s="1825" t="s">
        <v>2687</v>
      </c>
      <c r="N638" s="1762">
        <v>130160000</v>
      </c>
      <c r="O638" s="1763" t="s">
        <v>2480</v>
      </c>
    </row>
    <row r="639" spans="1:15" ht="15">
      <c r="A639" s="1764" t="s">
        <v>2697</v>
      </c>
      <c r="B639" s="1758" t="s">
        <v>2481</v>
      </c>
      <c r="C639" s="1757">
        <v>13</v>
      </c>
      <c r="D639" s="1758" t="s">
        <v>2482</v>
      </c>
      <c r="E639" s="1758" t="s">
        <v>2637</v>
      </c>
      <c r="F639" s="1759">
        <v>10430</v>
      </c>
      <c r="G639" s="1759">
        <v>6029999</v>
      </c>
      <c r="H639" s="1760" t="s">
        <v>2686</v>
      </c>
      <c r="I639" s="1758" t="s">
        <v>2325</v>
      </c>
      <c r="J639" s="1645" t="s">
        <v>2686</v>
      </c>
      <c r="K639" s="1761" t="s">
        <v>2319</v>
      </c>
      <c r="L639" s="1761" t="s">
        <v>2687</v>
      </c>
      <c r="M639" s="1825" t="s">
        <v>2687</v>
      </c>
      <c r="N639" s="1762">
        <v>29210000</v>
      </c>
      <c r="O639" s="1763" t="s">
        <v>2483</v>
      </c>
    </row>
    <row r="640" spans="1:15" ht="15">
      <c r="A640" s="1764" t="s">
        <v>2697</v>
      </c>
      <c r="B640" s="1758" t="s">
        <v>2484</v>
      </c>
      <c r="C640" s="1757">
        <v>13</v>
      </c>
      <c r="D640" s="1758" t="s">
        <v>2485</v>
      </c>
      <c r="E640" s="1758" t="s">
        <v>2637</v>
      </c>
      <c r="F640" s="1759">
        <v>10430</v>
      </c>
      <c r="G640" s="1759">
        <v>6029999</v>
      </c>
      <c r="H640" s="1760" t="s">
        <v>2686</v>
      </c>
      <c r="I640" s="1758" t="s">
        <v>2325</v>
      </c>
      <c r="J640" s="1645" t="s">
        <v>2686</v>
      </c>
      <c r="K640" s="1761" t="s">
        <v>2319</v>
      </c>
      <c r="L640" s="1761" t="s">
        <v>2687</v>
      </c>
      <c r="M640" s="1825" t="s">
        <v>2687</v>
      </c>
      <c r="N640" s="1762">
        <v>24010000</v>
      </c>
      <c r="O640" s="1763" t="s">
        <v>2486</v>
      </c>
    </row>
    <row r="641" spans="1:15" ht="15">
      <c r="A641" s="1764" t="s">
        <v>2697</v>
      </c>
      <c r="B641" s="1758" t="s">
        <v>2487</v>
      </c>
      <c r="C641" s="1757">
        <v>13</v>
      </c>
      <c r="D641" s="1758" t="s">
        <v>2488</v>
      </c>
      <c r="E641" s="1758" t="s">
        <v>2637</v>
      </c>
      <c r="F641" s="1759">
        <v>10430</v>
      </c>
      <c r="G641" s="1759">
        <v>6029999</v>
      </c>
      <c r="H641" s="1760" t="s">
        <v>2686</v>
      </c>
      <c r="I641" s="1758" t="s">
        <v>2489</v>
      </c>
      <c r="J641" s="1645" t="s">
        <v>2686</v>
      </c>
      <c r="K641" s="1761" t="s">
        <v>2319</v>
      </c>
      <c r="L641" s="1761" t="s">
        <v>2687</v>
      </c>
      <c r="M641" s="1825" t="s">
        <v>2687</v>
      </c>
      <c r="N641" s="1762">
        <v>86290000</v>
      </c>
      <c r="O641" s="1763" t="s">
        <v>2490</v>
      </c>
    </row>
    <row r="642" spans="1:15" ht="15">
      <c r="A642" s="1764" t="s">
        <v>2697</v>
      </c>
      <c r="B642" s="1758" t="s">
        <v>2491</v>
      </c>
      <c r="C642" s="1757">
        <v>13</v>
      </c>
      <c r="D642" s="1758" t="s">
        <v>2492</v>
      </c>
      <c r="E642" s="1758" t="s">
        <v>2637</v>
      </c>
      <c r="F642" s="1759">
        <v>10430</v>
      </c>
      <c r="G642" s="1759">
        <v>6029999</v>
      </c>
      <c r="H642" s="1760" t="s">
        <v>2686</v>
      </c>
      <c r="I642" s="1758" t="s">
        <v>2489</v>
      </c>
      <c r="J642" s="1645" t="s">
        <v>2686</v>
      </c>
      <c r="K642" s="1761" t="s">
        <v>2319</v>
      </c>
      <c r="L642" s="1761" t="s">
        <v>2687</v>
      </c>
      <c r="M642" s="1825" t="s">
        <v>2687</v>
      </c>
      <c r="N642" s="1762">
        <v>32600000</v>
      </c>
      <c r="O642" s="1763" t="s">
        <v>2493</v>
      </c>
    </row>
    <row r="643" spans="1:15" ht="15">
      <c r="A643" s="1764" t="s">
        <v>2697</v>
      </c>
      <c r="B643" s="1758" t="s">
        <v>2494</v>
      </c>
      <c r="C643" s="1757">
        <v>13</v>
      </c>
      <c r="D643" s="1758" t="s">
        <v>2495</v>
      </c>
      <c r="E643" s="1758" t="s">
        <v>2637</v>
      </c>
      <c r="F643" s="1759">
        <v>10430</v>
      </c>
      <c r="G643" s="1759">
        <v>6029999</v>
      </c>
      <c r="H643" s="1760" t="s">
        <v>2686</v>
      </c>
      <c r="I643" s="1758" t="s">
        <v>2496</v>
      </c>
      <c r="J643" s="1645" t="s">
        <v>2686</v>
      </c>
      <c r="K643" s="1761" t="s">
        <v>2319</v>
      </c>
      <c r="L643" s="1761" t="s">
        <v>2687</v>
      </c>
      <c r="M643" s="1825" t="s">
        <v>2687</v>
      </c>
      <c r="N643" s="1762">
        <v>34150000</v>
      </c>
      <c r="O643" s="1763" t="s">
        <v>2497</v>
      </c>
    </row>
    <row r="644" spans="1:15" ht="15">
      <c r="A644" s="1764" t="s">
        <v>2697</v>
      </c>
      <c r="B644" s="1758" t="s">
        <v>148</v>
      </c>
      <c r="C644" s="1757">
        <v>13</v>
      </c>
      <c r="D644" s="1758" t="s">
        <v>2498</v>
      </c>
      <c r="E644" s="1758" t="s">
        <v>2637</v>
      </c>
      <c r="F644" s="1759">
        <v>10430</v>
      </c>
      <c r="G644" s="1759">
        <v>6029999</v>
      </c>
      <c r="H644" s="1760" t="s">
        <v>2686</v>
      </c>
      <c r="I644" s="1758" t="s">
        <v>2499</v>
      </c>
      <c r="J644" s="1645" t="s">
        <v>2686</v>
      </c>
      <c r="K644" s="1761" t="s">
        <v>2319</v>
      </c>
      <c r="L644" s="1761" t="s">
        <v>2687</v>
      </c>
      <c r="M644" s="1825" t="s">
        <v>2687</v>
      </c>
      <c r="N644" s="1762">
        <v>24880000</v>
      </c>
      <c r="O644" s="1763" t="s">
        <v>2500</v>
      </c>
    </row>
    <row r="645" spans="1:15" ht="15">
      <c r="A645" s="1764" t="s">
        <v>2697</v>
      </c>
      <c r="B645" s="1758" t="s">
        <v>2501</v>
      </c>
      <c r="C645" s="1757">
        <v>13</v>
      </c>
      <c r="D645" s="1758" t="s">
        <v>2502</v>
      </c>
      <c r="E645" s="1758" t="s">
        <v>2637</v>
      </c>
      <c r="F645" s="1759">
        <v>10430</v>
      </c>
      <c r="G645" s="1759">
        <v>6029999</v>
      </c>
      <c r="H645" s="1760" t="s">
        <v>2686</v>
      </c>
      <c r="I645" s="1758" t="s">
        <v>2499</v>
      </c>
      <c r="J645" s="1645" t="s">
        <v>2686</v>
      </c>
      <c r="K645" s="1761" t="s">
        <v>2319</v>
      </c>
      <c r="L645" s="1761" t="s">
        <v>2687</v>
      </c>
      <c r="M645" s="1825" t="s">
        <v>2687</v>
      </c>
      <c r="N645" s="1762">
        <v>4120000</v>
      </c>
      <c r="O645" s="1763" t="s">
        <v>2503</v>
      </c>
    </row>
    <row r="646" spans="1:15" ht="15">
      <c r="A646" s="1764" t="s">
        <v>2697</v>
      </c>
      <c r="B646" s="1758" t="s">
        <v>2504</v>
      </c>
      <c r="C646" s="1757">
        <v>13</v>
      </c>
      <c r="D646" s="1758" t="s">
        <v>2505</v>
      </c>
      <c r="E646" s="1758" t="s">
        <v>2637</v>
      </c>
      <c r="F646" s="1759">
        <v>10430</v>
      </c>
      <c r="G646" s="1759">
        <v>6029999</v>
      </c>
      <c r="H646" s="1760" t="s">
        <v>2686</v>
      </c>
      <c r="I646" s="1758" t="s">
        <v>2506</v>
      </c>
      <c r="J646" s="1645" t="s">
        <v>2686</v>
      </c>
      <c r="K646" s="1761" t="s">
        <v>2319</v>
      </c>
      <c r="L646" s="1761" t="s">
        <v>2687</v>
      </c>
      <c r="M646" s="1825" t="s">
        <v>2687</v>
      </c>
      <c r="N646" s="1762">
        <v>16910000</v>
      </c>
      <c r="O646" s="1763" t="s">
        <v>2507</v>
      </c>
    </row>
    <row r="647" spans="1:15" ht="15">
      <c r="A647" s="1764" t="s">
        <v>2697</v>
      </c>
      <c r="B647" s="1758" t="s">
        <v>2508</v>
      </c>
      <c r="C647" s="1757">
        <v>13</v>
      </c>
      <c r="D647" s="1758" t="s">
        <v>2509</v>
      </c>
      <c r="E647" s="1758" t="s">
        <v>2637</v>
      </c>
      <c r="F647" s="1759">
        <v>10430</v>
      </c>
      <c r="G647" s="1759">
        <v>6029999</v>
      </c>
      <c r="H647" s="1760" t="s">
        <v>2686</v>
      </c>
      <c r="I647" s="1758" t="s">
        <v>2506</v>
      </c>
      <c r="J647" s="1645" t="s">
        <v>2686</v>
      </c>
      <c r="K647" s="1761" t="s">
        <v>2319</v>
      </c>
      <c r="L647" s="1761" t="s">
        <v>2687</v>
      </c>
      <c r="M647" s="1825" t="s">
        <v>2687</v>
      </c>
      <c r="N647" s="1762">
        <v>20840000</v>
      </c>
      <c r="O647" s="1763" t="s">
        <v>2510</v>
      </c>
    </row>
    <row r="648" spans="1:15" ht="15">
      <c r="A648" s="1764" t="s">
        <v>2697</v>
      </c>
      <c r="B648" s="1758" t="s">
        <v>2511</v>
      </c>
      <c r="C648" s="1757">
        <v>13</v>
      </c>
      <c r="D648" s="1758" t="s">
        <v>2512</v>
      </c>
      <c r="E648" s="1758" t="s">
        <v>2637</v>
      </c>
      <c r="F648" s="1759">
        <v>10430</v>
      </c>
      <c r="G648" s="1759">
        <v>6029999</v>
      </c>
      <c r="H648" s="1760" t="s">
        <v>2686</v>
      </c>
      <c r="I648" s="1758" t="s">
        <v>2513</v>
      </c>
      <c r="J648" s="1645" t="s">
        <v>2686</v>
      </c>
      <c r="K648" s="1761" t="s">
        <v>2319</v>
      </c>
      <c r="L648" s="1761" t="s">
        <v>2687</v>
      </c>
      <c r="M648" s="1825" t="s">
        <v>2687</v>
      </c>
      <c r="N648" s="1762">
        <v>14310000</v>
      </c>
      <c r="O648" s="1763" t="s">
        <v>2514</v>
      </c>
    </row>
    <row r="649" spans="1:15" ht="15">
      <c r="A649" s="1764" t="s">
        <v>2697</v>
      </c>
      <c r="B649" s="1758" t="s">
        <v>2515</v>
      </c>
      <c r="C649" s="1757">
        <v>13</v>
      </c>
      <c r="D649" s="1758" t="s">
        <v>2516</v>
      </c>
      <c r="E649" s="1758" t="s">
        <v>2637</v>
      </c>
      <c r="F649" s="1759">
        <v>10430</v>
      </c>
      <c r="G649" s="1759">
        <v>6029999</v>
      </c>
      <c r="H649" s="1760" t="s">
        <v>2686</v>
      </c>
      <c r="I649" s="1758" t="s">
        <v>2513</v>
      </c>
      <c r="J649" s="1645" t="s">
        <v>2686</v>
      </c>
      <c r="K649" s="1761" t="s">
        <v>2319</v>
      </c>
      <c r="L649" s="1761" t="s">
        <v>2687</v>
      </c>
      <c r="M649" s="1825" t="s">
        <v>2687</v>
      </c>
      <c r="N649" s="1762">
        <v>11300000</v>
      </c>
      <c r="O649" s="1763" t="s">
        <v>2517</v>
      </c>
    </row>
    <row r="650" spans="1:15" ht="15">
      <c r="A650" s="1764" t="s">
        <v>2697</v>
      </c>
      <c r="B650" s="1645" t="s">
        <v>2518</v>
      </c>
      <c r="C650" s="1757">
        <v>13</v>
      </c>
      <c r="D650" s="1645" t="s">
        <v>2519</v>
      </c>
      <c r="E650" s="1758" t="s">
        <v>2637</v>
      </c>
      <c r="F650" s="1759">
        <v>10430</v>
      </c>
      <c r="G650" s="1759">
        <v>6029999</v>
      </c>
      <c r="H650" s="1760" t="s">
        <v>2686</v>
      </c>
      <c r="I650" s="1645" t="s">
        <v>2499</v>
      </c>
      <c r="J650" s="1645" t="s">
        <v>2686</v>
      </c>
      <c r="K650" s="1761" t="s">
        <v>2319</v>
      </c>
      <c r="L650" s="1761" t="s">
        <v>2687</v>
      </c>
      <c r="M650" s="1825" t="s">
        <v>2687</v>
      </c>
      <c r="N650" s="1762">
        <v>6280000</v>
      </c>
      <c r="O650" s="1766" t="s">
        <v>2520</v>
      </c>
    </row>
    <row r="651" spans="1:15" ht="15">
      <c r="A651" s="1764" t="s">
        <v>2697</v>
      </c>
      <c r="B651" s="1758" t="s">
        <v>2521</v>
      </c>
      <c r="C651" s="1757">
        <v>13</v>
      </c>
      <c r="D651" s="1758" t="s">
        <v>2522</v>
      </c>
      <c r="E651" s="1758" t="s">
        <v>2637</v>
      </c>
      <c r="F651" s="1759">
        <v>10430</v>
      </c>
      <c r="G651" s="1759">
        <v>6029999</v>
      </c>
      <c r="H651" s="1760" t="s">
        <v>2686</v>
      </c>
      <c r="I651" s="1758" t="s">
        <v>2523</v>
      </c>
      <c r="J651" s="1645" t="s">
        <v>2686</v>
      </c>
      <c r="K651" s="1761" t="s">
        <v>2319</v>
      </c>
      <c r="L651" s="1761" t="s">
        <v>2687</v>
      </c>
      <c r="M651" s="1825" t="s">
        <v>2687</v>
      </c>
      <c r="N651" s="1762">
        <v>92800000</v>
      </c>
      <c r="O651" s="1763" t="s">
        <v>2524</v>
      </c>
    </row>
    <row r="652" spans="1:15" ht="15">
      <c r="A652" s="1764" t="s">
        <v>2697</v>
      </c>
      <c r="B652" s="1758" t="s">
        <v>2525</v>
      </c>
      <c r="C652" s="1757">
        <v>13</v>
      </c>
      <c r="D652" s="1758" t="s">
        <v>2526</v>
      </c>
      <c r="E652" s="1758" t="s">
        <v>2637</v>
      </c>
      <c r="F652" s="1759">
        <v>10430</v>
      </c>
      <c r="G652" s="1759">
        <v>6029999</v>
      </c>
      <c r="H652" s="1760" t="s">
        <v>2686</v>
      </c>
      <c r="I652" s="1758" t="s">
        <v>2523</v>
      </c>
      <c r="J652" s="1645" t="s">
        <v>2686</v>
      </c>
      <c r="K652" s="1761" t="s">
        <v>2319</v>
      </c>
      <c r="L652" s="1761" t="s">
        <v>2687</v>
      </c>
      <c r="M652" s="1825" t="s">
        <v>2687</v>
      </c>
      <c r="N652" s="1762">
        <v>71940000</v>
      </c>
      <c r="O652" s="1763" t="s">
        <v>2527</v>
      </c>
    </row>
    <row r="653" spans="1:15" ht="15">
      <c r="A653" s="1764" t="s">
        <v>2697</v>
      </c>
      <c r="B653" s="1645" t="s">
        <v>2528</v>
      </c>
      <c r="C653" s="1757">
        <v>13</v>
      </c>
      <c r="D653" s="1645" t="s">
        <v>2529</v>
      </c>
      <c r="E653" s="1758" t="s">
        <v>2637</v>
      </c>
      <c r="F653" s="1759">
        <v>10430</v>
      </c>
      <c r="G653" s="1759">
        <v>6029999</v>
      </c>
      <c r="H653" s="1760" t="s">
        <v>2686</v>
      </c>
      <c r="I653" s="1645" t="s">
        <v>2523</v>
      </c>
      <c r="J653" s="1645" t="s">
        <v>2686</v>
      </c>
      <c r="K653" s="1761" t="s">
        <v>2319</v>
      </c>
      <c r="L653" s="1761" t="s">
        <v>2687</v>
      </c>
      <c r="M653" s="1825" t="s">
        <v>2687</v>
      </c>
      <c r="N653" s="1762">
        <v>1860000</v>
      </c>
      <c r="O653" s="1766" t="s">
        <v>2530</v>
      </c>
    </row>
    <row r="654" spans="1:15" ht="15">
      <c r="A654" s="1764" t="s">
        <v>2697</v>
      </c>
      <c r="B654" s="1758" t="s">
        <v>2531</v>
      </c>
      <c r="C654" s="1757">
        <v>13</v>
      </c>
      <c r="D654" s="1758" t="s">
        <v>2532</v>
      </c>
      <c r="E654" s="1758" t="s">
        <v>2637</v>
      </c>
      <c r="F654" s="1759">
        <v>10430</v>
      </c>
      <c r="G654" s="1759">
        <v>6029999</v>
      </c>
      <c r="H654" s="1760" t="s">
        <v>2686</v>
      </c>
      <c r="I654" s="1758" t="s">
        <v>2533</v>
      </c>
      <c r="J654" s="1645" t="s">
        <v>2686</v>
      </c>
      <c r="K654" s="1761" t="s">
        <v>2319</v>
      </c>
      <c r="L654" s="1761" t="s">
        <v>2687</v>
      </c>
      <c r="M654" s="1825" t="s">
        <v>2687</v>
      </c>
      <c r="N654" s="1762">
        <v>19110000</v>
      </c>
      <c r="O654" s="1763" t="s">
        <v>2534</v>
      </c>
    </row>
    <row r="655" spans="1:15" ht="15">
      <c r="A655" s="1764" t="s">
        <v>2697</v>
      </c>
      <c r="B655" s="1758" t="s">
        <v>2535</v>
      </c>
      <c r="C655" s="1757">
        <v>13</v>
      </c>
      <c r="D655" s="1758" t="s">
        <v>2536</v>
      </c>
      <c r="E655" s="1758" t="s">
        <v>2637</v>
      </c>
      <c r="F655" s="1759">
        <v>10430</v>
      </c>
      <c r="G655" s="1759">
        <v>6029999</v>
      </c>
      <c r="H655" s="1760" t="s">
        <v>2686</v>
      </c>
      <c r="I655" s="1758" t="s">
        <v>2537</v>
      </c>
      <c r="J655" s="1645" t="s">
        <v>2686</v>
      </c>
      <c r="K655" s="1761" t="s">
        <v>2319</v>
      </c>
      <c r="L655" s="1761" t="s">
        <v>2687</v>
      </c>
      <c r="M655" s="1825" t="s">
        <v>2687</v>
      </c>
      <c r="N655" s="1762">
        <v>34950000</v>
      </c>
      <c r="O655" s="1763" t="s">
        <v>2538</v>
      </c>
    </row>
    <row r="656" spans="1:15" ht="15">
      <c r="A656" s="1764" t="s">
        <v>2697</v>
      </c>
      <c r="B656" s="1758" t="s">
        <v>2539</v>
      </c>
      <c r="C656" s="1757">
        <v>13</v>
      </c>
      <c r="D656" s="1758" t="s">
        <v>2540</v>
      </c>
      <c r="E656" s="1758" t="s">
        <v>2637</v>
      </c>
      <c r="F656" s="1759">
        <v>10430</v>
      </c>
      <c r="G656" s="1759">
        <v>6029999</v>
      </c>
      <c r="H656" s="1760" t="s">
        <v>2686</v>
      </c>
      <c r="I656" s="1758" t="s">
        <v>2541</v>
      </c>
      <c r="J656" s="1645" t="s">
        <v>2686</v>
      </c>
      <c r="K656" s="1761" t="s">
        <v>2319</v>
      </c>
      <c r="L656" s="1761" t="s">
        <v>2687</v>
      </c>
      <c r="M656" s="1825" t="s">
        <v>2687</v>
      </c>
      <c r="N656" s="1762">
        <v>156740000</v>
      </c>
      <c r="O656" s="1763" t="s">
        <v>2542</v>
      </c>
    </row>
    <row r="657" spans="1:15" ht="15">
      <c r="A657" s="1764" t="s">
        <v>2697</v>
      </c>
      <c r="B657" s="1758">
        <v>113</v>
      </c>
      <c r="C657" s="1757">
        <v>13</v>
      </c>
      <c r="D657" s="1758">
        <v>2113001</v>
      </c>
      <c r="E657" s="1758" t="s">
        <v>2637</v>
      </c>
      <c r="F657" s="1759">
        <v>10430</v>
      </c>
      <c r="G657" s="1759">
        <v>6029999</v>
      </c>
      <c r="H657" s="1760" t="s">
        <v>2686</v>
      </c>
      <c r="I657" s="1758" t="s">
        <v>2544</v>
      </c>
      <c r="J657" s="1645" t="s">
        <v>2686</v>
      </c>
      <c r="K657" s="1761" t="s">
        <v>2319</v>
      </c>
      <c r="L657" s="1761" t="s">
        <v>2687</v>
      </c>
      <c r="M657" s="1825" t="s">
        <v>2687</v>
      </c>
      <c r="N657" s="1762">
        <v>104360000</v>
      </c>
      <c r="O657" s="1763" t="s">
        <v>2545</v>
      </c>
    </row>
    <row r="658" spans="1:15" ht="15">
      <c r="A658" s="1764" t="s">
        <v>2697</v>
      </c>
      <c r="B658" s="1758" t="s">
        <v>2546</v>
      </c>
      <c r="C658" s="1757">
        <v>13</v>
      </c>
      <c r="D658" s="1758" t="s">
        <v>2547</v>
      </c>
      <c r="E658" s="1758" t="s">
        <v>2637</v>
      </c>
      <c r="F658" s="1759">
        <v>10430</v>
      </c>
      <c r="G658" s="1759">
        <v>6029999</v>
      </c>
      <c r="H658" s="1760" t="s">
        <v>2686</v>
      </c>
      <c r="I658" s="1758" t="s">
        <v>2548</v>
      </c>
      <c r="J658" s="1645" t="s">
        <v>2686</v>
      </c>
      <c r="K658" s="1761" t="s">
        <v>2319</v>
      </c>
      <c r="L658" s="1761" t="s">
        <v>2687</v>
      </c>
      <c r="M658" s="1825" t="s">
        <v>2687</v>
      </c>
      <c r="N658" s="1762">
        <v>39400000</v>
      </c>
      <c r="O658" s="1763" t="s">
        <v>2549</v>
      </c>
    </row>
    <row r="659" spans="1:15" ht="15">
      <c r="A659" s="1764" t="s">
        <v>2697</v>
      </c>
      <c r="B659" s="1758" t="s">
        <v>2550</v>
      </c>
      <c r="C659" s="1757">
        <v>13</v>
      </c>
      <c r="D659" s="1758" t="s">
        <v>2551</v>
      </c>
      <c r="E659" s="1758" t="s">
        <v>2637</v>
      </c>
      <c r="F659" s="1759">
        <v>10430</v>
      </c>
      <c r="G659" s="1759">
        <v>6029999</v>
      </c>
      <c r="H659" s="1760" t="s">
        <v>2686</v>
      </c>
      <c r="I659" s="1758" t="s">
        <v>2552</v>
      </c>
      <c r="J659" s="1645" t="s">
        <v>2686</v>
      </c>
      <c r="K659" s="1761" t="s">
        <v>2319</v>
      </c>
      <c r="L659" s="1761" t="s">
        <v>2687</v>
      </c>
      <c r="M659" s="1825" t="s">
        <v>2687</v>
      </c>
      <c r="N659" s="1762">
        <v>51270000</v>
      </c>
      <c r="O659" s="1763" t="s">
        <v>2553</v>
      </c>
    </row>
    <row r="660" spans="1:15" ht="15">
      <c r="A660" s="1764" t="s">
        <v>2697</v>
      </c>
      <c r="B660" s="1758" t="s">
        <v>2554</v>
      </c>
      <c r="C660" s="1757">
        <v>13</v>
      </c>
      <c r="D660" s="1758" t="s">
        <v>2555</v>
      </c>
      <c r="E660" s="1758" t="s">
        <v>2637</v>
      </c>
      <c r="F660" s="1759">
        <v>10430</v>
      </c>
      <c r="G660" s="1759">
        <v>6029999</v>
      </c>
      <c r="H660" s="1760" t="s">
        <v>2686</v>
      </c>
      <c r="I660" s="1758" t="s">
        <v>2556</v>
      </c>
      <c r="J660" s="1645" t="s">
        <v>2686</v>
      </c>
      <c r="K660" s="1761" t="s">
        <v>2319</v>
      </c>
      <c r="L660" s="1761" t="s">
        <v>2687</v>
      </c>
      <c r="M660" s="1825" t="s">
        <v>2687</v>
      </c>
      <c r="N660" s="1762">
        <v>90980000</v>
      </c>
      <c r="O660" s="1763" t="s">
        <v>2557</v>
      </c>
    </row>
    <row r="661" spans="1:15" ht="15">
      <c r="A661" s="1764" t="s">
        <v>2697</v>
      </c>
      <c r="B661" s="1758" t="s">
        <v>2558</v>
      </c>
      <c r="C661" s="1757">
        <v>13</v>
      </c>
      <c r="D661" s="1758" t="s">
        <v>2559</v>
      </c>
      <c r="E661" s="1758" t="s">
        <v>2637</v>
      </c>
      <c r="F661" s="1759">
        <v>10430</v>
      </c>
      <c r="G661" s="1759">
        <v>6029999</v>
      </c>
      <c r="H661" s="1760" t="s">
        <v>2686</v>
      </c>
      <c r="I661" s="1758" t="s">
        <v>2560</v>
      </c>
      <c r="J661" s="1645" t="s">
        <v>2686</v>
      </c>
      <c r="K661" s="1761" t="s">
        <v>2319</v>
      </c>
      <c r="L661" s="1761" t="s">
        <v>2687</v>
      </c>
      <c r="M661" s="1825" t="s">
        <v>2687</v>
      </c>
      <c r="N661" s="1762">
        <v>43610000</v>
      </c>
      <c r="O661" s="1763" t="s">
        <v>2561</v>
      </c>
    </row>
    <row r="662" spans="1:15" ht="15">
      <c r="A662" s="1764" t="s">
        <v>2697</v>
      </c>
      <c r="B662" s="1758" t="s">
        <v>2562</v>
      </c>
      <c r="C662" s="1757">
        <v>13</v>
      </c>
      <c r="D662" s="1758" t="s">
        <v>2563</v>
      </c>
      <c r="E662" s="1758" t="s">
        <v>2637</v>
      </c>
      <c r="F662" s="1759">
        <v>10430</v>
      </c>
      <c r="G662" s="1759">
        <v>6029999</v>
      </c>
      <c r="H662" s="1760" t="s">
        <v>2686</v>
      </c>
      <c r="I662" s="1758" t="s">
        <v>2564</v>
      </c>
      <c r="J662" s="1645" t="s">
        <v>2686</v>
      </c>
      <c r="K662" s="1761" t="s">
        <v>2319</v>
      </c>
      <c r="L662" s="1761" t="s">
        <v>2687</v>
      </c>
      <c r="M662" s="1825" t="s">
        <v>2687</v>
      </c>
      <c r="N662" s="1762">
        <v>70670000</v>
      </c>
      <c r="O662" s="1763" t="s">
        <v>2565</v>
      </c>
    </row>
    <row r="663" spans="1:15" ht="15">
      <c r="A663" s="1764" t="s">
        <v>2697</v>
      </c>
      <c r="B663" s="1758" t="s">
        <v>2566</v>
      </c>
      <c r="C663" s="1757">
        <v>13</v>
      </c>
      <c r="D663" s="1758" t="s">
        <v>2567</v>
      </c>
      <c r="E663" s="1758" t="s">
        <v>2637</v>
      </c>
      <c r="F663" s="1759">
        <v>10430</v>
      </c>
      <c r="G663" s="1759">
        <v>6029999</v>
      </c>
      <c r="H663" s="1760" t="s">
        <v>2686</v>
      </c>
      <c r="I663" s="1758" t="s">
        <v>2568</v>
      </c>
      <c r="J663" s="1645" t="s">
        <v>2686</v>
      </c>
      <c r="K663" s="1761" t="s">
        <v>2319</v>
      </c>
      <c r="L663" s="1761" t="s">
        <v>2687</v>
      </c>
      <c r="M663" s="1825" t="s">
        <v>2687</v>
      </c>
      <c r="N663" s="1762">
        <v>39830000</v>
      </c>
      <c r="O663" s="1763" t="s">
        <v>2569</v>
      </c>
    </row>
    <row r="664" spans="1:15" ht="15">
      <c r="A664" s="1764" t="s">
        <v>2697</v>
      </c>
      <c r="B664" s="1758" t="s">
        <v>2570</v>
      </c>
      <c r="C664" s="1757">
        <v>13</v>
      </c>
      <c r="D664" s="1758" t="s">
        <v>2571</v>
      </c>
      <c r="E664" s="1758" t="s">
        <v>2637</v>
      </c>
      <c r="F664" s="1759">
        <v>10430</v>
      </c>
      <c r="G664" s="1759">
        <v>6029999</v>
      </c>
      <c r="H664" s="1760" t="s">
        <v>2686</v>
      </c>
      <c r="I664" s="1758" t="s">
        <v>2572</v>
      </c>
      <c r="J664" s="1645" t="s">
        <v>2686</v>
      </c>
      <c r="K664" s="1761" t="s">
        <v>2319</v>
      </c>
      <c r="L664" s="1761" t="s">
        <v>2687</v>
      </c>
      <c r="M664" s="1825" t="s">
        <v>2687</v>
      </c>
      <c r="N664" s="1762">
        <v>149280000</v>
      </c>
      <c r="O664" s="1763" t="s">
        <v>2573</v>
      </c>
    </row>
    <row r="665" spans="1:15" ht="15">
      <c r="A665" s="1764" t="s">
        <v>2697</v>
      </c>
      <c r="B665" s="1758" t="s">
        <v>2574</v>
      </c>
      <c r="C665" s="1757">
        <v>13</v>
      </c>
      <c r="D665" s="1758" t="s">
        <v>2575</v>
      </c>
      <c r="E665" s="1758" t="s">
        <v>2637</v>
      </c>
      <c r="F665" s="1759">
        <v>10430</v>
      </c>
      <c r="G665" s="1759">
        <v>6029999</v>
      </c>
      <c r="H665" s="1760" t="s">
        <v>2686</v>
      </c>
      <c r="I665" s="1758" t="s">
        <v>2572</v>
      </c>
      <c r="J665" s="1645" t="s">
        <v>2686</v>
      </c>
      <c r="K665" s="1761" t="s">
        <v>2319</v>
      </c>
      <c r="L665" s="1761" t="s">
        <v>2687</v>
      </c>
      <c r="M665" s="1825" t="s">
        <v>2687</v>
      </c>
      <c r="N665" s="1762">
        <v>41520000</v>
      </c>
      <c r="O665" s="1763" t="s">
        <v>2576</v>
      </c>
    </row>
    <row r="666" spans="1:15" ht="15">
      <c r="A666" s="1764" t="s">
        <v>2697</v>
      </c>
      <c r="B666" s="1758" t="s">
        <v>2577</v>
      </c>
      <c r="C666" s="1757">
        <v>13</v>
      </c>
      <c r="D666" s="1758" t="s">
        <v>2578</v>
      </c>
      <c r="E666" s="1758" t="s">
        <v>2637</v>
      </c>
      <c r="F666" s="1759">
        <v>10430</v>
      </c>
      <c r="G666" s="1759">
        <v>6029999</v>
      </c>
      <c r="H666" s="1760" t="s">
        <v>2686</v>
      </c>
      <c r="I666" s="1758" t="s">
        <v>2579</v>
      </c>
      <c r="J666" s="1645" t="s">
        <v>2686</v>
      </c>
      <c r="K666" s="1761" t="s">
        <v>2319</v>
      </c>
      <c r="L666" s="1761" t="s">
        <v>2687</v>
      </c>
      <c r="M666" s="1825" t="s">
        <v>2687</v>
      </c>
      <c r="N666" s="1762">
        <v>18290000</v>
      </c>
      <c r="O666" s="1763" t="s">
        <v>2580</v>
      </c>
    </row>
    <row r="667" spans="1:15" ht="15">
      <c r="A667" s="1764" t="s">
        <v>2697</v>
      </c>
      <c r="B667" s="1758" t="s">
        <v>2581</v>
      </c>
      <c r="C667" s="1757">
        <v>13</v>
      </c>
      <c r="D667" s="1758" t="s">
        <v>2582</v>
      </c>
      <c r="E667" s="1758" t="s">
        <v>2637</v>
      </c>
      <c r="F667" s="1759">
        <v>10430</v>
      </c>
      <c r="G667" s="1759">
        <v>6029999</v>
      </c>
      <c r="H667" s="1760" t="s">
        <v>2686</v>
      </c>
      <c r="I667" s="1758" t="s">
        <v>2579</v>
      </c>
      <c r="J667" s="1645" t="s">
        <v>2686</v>
      </c>
      <c r="K667" s="1761" t="s">
        <v>2319</v>
      </c>
      <c r="L667" s="1761" t="s">
        <v>2687</v>
      </c>
      <c r="M667" s="1825" t="s">
        <v>2687</v>
      </c>
      <c r="N667" s="1762">
        <v>15480000</v>
      </c>
      <c r="O667" s="1763" t="s">
        <v>2583</v>
      </c>
    </row>
    <row r="668" spans="1:15" ht="15">
      <c r="A668" s="1764" t="s">
        <v>2697</v>
      </c>
      <c r="B668" s="1758" t="s">
        <v>2584</v>
      </c>
      <c r="C668" s="1757">
        <v>13</v>
      </c>
      <c r="D668" s="1758" t="s">
        <v>2585</v>
      </c>
      <c r="E668" s="1758" t="s">
        <v>2637</v>
      </c>
      <c r="F668" s="1759">
        <v>10430</v>
      </c>
      <c r="G668" s="1759">
        <v>6029999</v>
      </c>
      <c r="H668" s="1760" t="s">
        <v>2686</v>
      </c>
      <c r="I668" s="1758" t="s">
        <v>2372</v>
      </c>
      <c r="J668" s="1645" t="s">
        <v>2686</v>
      </c>
      <c r="K668" s="1761" t="s">
        <v>2319</v>
      </c>
      <c r="L668" s="1761" t="s">
        <v>2687</v>
      </c>
      <c r="M668" s="1825" t="s">
        <v>2687</v>
      </c>
      <c r="N668" s="1762">
        <v>398930000</v>
      </c>
      <c r="O668" s="1763" t="s">
        <v>2586</v>
      </c>
    </row>
    <row r="669" spans="1:15" ht="15">
      <c r="A669" s="1764" t="s">
        <v>2697</v>
      </c>
      <c r="B669" s="1758" t="s">
        <v>2587</v>
      </c>
      <c r="C669" s="1757">
        <v>13</v>
      </c>
      <c r="D669" s="1758" t="s">
        <v>2588</v>
      </c>
      <c r="E669" s="1758" t="s">
        <v>2637</v>
      </c>
      <c r="F669" s="1759">
        <v>10430</v>
      </c>
      <c r="G669" s="1759">
        <v>6029999</v>
      </c>
      <c r="H669" s="1760" t="s">
        <v>2686</v>
      </c>
      <c r="I669" s="1758" t="s">
        <v>2372</v>
      </c>
      <c r="J669" s="1645" t="s">
        <v>2686</v>
      </c>
      <c r="K669" s="1761" t="s">
        <v>2319</v>
      </c>
      <c r="L669" s="1761" t="s">
        <v>2687</v>
      </c>
      <c r="M669" s="1825" t="s">
        <v>2687</v>
      </c>
      <c r="N669" s="1762">
        <v>70440000</v>
      </c>
      <c r="O669" s="1826" t="s">
        <v>2589</v>
      </c>
    </row>
    <row r="670" spans="1:15" ht="15">
      <c r="A670" s="1764" t="s">
        <v>2697</v>
      </c>
      <c r="B670" s="1758" t="s">
        <v>2590</v>
      </c>
      <c r="C670" s="1757">
        <v>13</v>
      </c>
      <c r="D670" s="1758" t="s">
        <v>2591</v>
      </c>
      <c r="E670" s="1758" t="s">
        <v>2637</v>
      </c>
      <c r="F670" s="1759">
        <v>10430</v>
      </c>
      <c r="G670" s="1759">
        <v>6029999</v>
      </c>
      <c r="H670" s="1760" t="s">
        <v>2686</v>
      </c>
      <c r="I670" s="1758" t="s">
        <v>2372</v>
      </c>
      <c r="J670" s="1645" t="s">
        <v>2686</v>
      </c>
      <c r="K670" s="1761" t="s">
        <v>2319</v>
      </c>
      <c r="L670" s="1761" t="s">
        <v>2687</v>
      </c>
      <c r="M670" s="1825" t="s">
        <v>2687</v>
      </c>
      <c r="N670" s="1762">
        <v>19620000</v>
      </c>
      <c r="O670" s="1763" t="s">
        <v>2592</v>
      </c>
    </row>
    <row r="671" spans="1:15" ht="15">
      <c r="A671" s="1764" t="s">
        <v>2697</v>
      </c>
      <c r="B671" s="1758" t="s">
        <v>2593</v>
      </c>
      <c r="C671" s="1757">
        <v>13</v>
      </c>
      <c r="D671" s="1758" t="s">
        <v>2594</v>
      </c>
      <c r="E671" s="1758" t="s">
        <v>2637</v>
      </c>
      <c r="F671" s="1759">
        <v>10430</v>
      </c>
      <c r="G671" s="1759">
        <v>6029999</v>
      </c>
      <c r="H671" s="1760" t="s">
        <v>2686</v>
      </c>
      <c r="I671" s="1758" t="s">
        <v>2595</v>
      </c>
      <c r="J671" s="1645" t="s">
        <v>2686</v>
      </c>
      <c r="K671" s="1761" t="s">
        <v>2319</v>
      </c>
      <c r="L671" s="1761" t="s">
        <v>2687</v>
      </c>
      <c r="M671" s="1825" t="s">
        <v>2687</v>
      </c>
      <c r="N671" s="1762">
        <v>42960000</v>
      </c>
      <c r="O671" s="1763" t="s">
        <v>2596</v>
      </c>
    </row>
    <row r="672" spans="1:15" ht="15">
      <c r="A672" s="1764" t="s">
        <v>2697</v>
      </c>
      <c r="B672" s="1758" t="s">
        <v>2597</v>
      </c>
      <c r="C672" s="1757">
        <v>13</v>
      </c>
      <c r="D672" s="1758" t="s">
        <v>2598</v>
      </c>
      <c r="E672" s="1758" t="s">
        <v>2637</v>
      </c>
      <c r="F672" s="1759">
        <v>10430</v>
      </c>
      <c r="G672" s="1759">
        <v>6029999</v>
      </c>
      <c r="H672" s="1760" t="s">
        <v>2686</v>
      </c>
      <c r="I672" s="1758" t="s">
        <v>2595</v>
      </c>
      <c r="J672" s="1645" t="s">
        <v>2686</v>
      </c>
      <c r="K672" s="1761" t="s">
        <v>2319</v>
      </c>
      <c r="L672" s="1761" t="s">
        <v>2687</v>
      </c>
      <c r="M672" s="1825" t="s">
        <v>2687</v>
      </c>
      <c r="N672" s="1762">
        <v>20600000</v>
      </c>
      <c r="O672" s="1763" t="s">
        <v>2599</v>
      </c>
    </row>
    <row r="673" spans="1:15" ht="15">
      <c r="A673" s="1764" t="s">
        <v>2697</v>
      </c>
      <c r="B673" s="1758" t="s">
        <v>2600</v>
      </c>
      <c r="C673" s="1757">
        <v>13</v>
      </c>
      <c r="D673" s="1758" t="s">
        <v>2601</v>
      </c>
      <c r="E673" s="1758" t="s">
        <v>2637</v>
      </c>
      <c r="F673" s="1759">
        <v>10430</v>
      </c>
      <c r="G673" s="1759">
        <v>6029999</v>
      </c>
      <c r="H673" s="1760" t="s">
        <v>2686</v>
      </c>
      <c r="I673" s="1758" t="s">
        <v>2336</v>
      </c>
      <c r="J673" s="1645" t="s">
        <v>2686</v>
      </c>
      <c r="K673" s="1761" t="s">
        <v>2319</v>
      </c>
      <c r="L673" s="1761" t="s">
        <v>2687</v>
      </c>
      <c r="M673" s="1825" t="s">
        <v>2687</v>
      </c>
      <c r="N673" s="1762">
        <v>105990000</v>
      </c>
      <c r="O673" s="1763" t="s">
        <v>2602</v>
      </c>
    </row>
    <row r="674" spans="1:15" ht="15">
      <c r="A674" s="1764" t="s">
        <v>2697</v>
      </c>
      <c r="B674" s="1758" t="s">
        <v>2603</v>
      </c>
      <c r="C674" s="1757">
        <v>13</v>
      </c>
      <c r="D674" s="1758" t="s">
        <v>2604</v>
      </c>
      <c r="E674" s="1758" t="s">
        <v>2637</v>
      </c>
      <c r="F674" s="1759">
        <v>10430</v>
      </c>
      <c r="G674" s="1759">
        <v>6029999</v>
      </c>
      <c r="H674" s="1760" t="s">
        <v>2686</v>
      </c>
      <c r="I674" s="1758" t="s">
        <v>2336</v>
      </c>
      <c r="J674" s="1645" t="s">
        <v>2686</v>
      </c>
      <c r="K674" s="1761" t="s">
        <v>2319</v>
      </c>
      <c r="L674" s="1761" t="s">
        <v>2687</v>
      </c>
      <c r="M674" s="1825" t="s">
        <v>2687</v>
      </c>
      <c r="N674" s="1762">
        <v>23740000</v>
      </c>
      <c r="O674" s="1763" t="s">
        <v>2605</v>
      </c>
    </row>
    <row r="675" spans="1:15" ht="15">
      <c r="A675" s="1764" t="s">
        <v>2697</v>
      </c>
      <c r="B675" s="1758" t="s">
        <v>2606</v>
      </c>
      <c r="C675" s="1757">
        <v>13</v>
      </c>
      <c r="D675" s="1758" t="s">
        <v>2607</v>
      </c>
      <c r="E675" s="1758" t="s">
        <v>2637</v>
      </c>
      <c r="F675" s="1759">
        <v>10430</v>
      </c>
      <c r="G675" s="1759">
        <v>6029999</v>
      </c>
      <c r="H675" s="1760" t="s">
        <v>2686</v>
      </c>
      <c r="I675" s="1758" t="s">
        <v>2336</v>
      </c>
      <c r="J675" s="1645" t="s">
        <v>2686</v>
      </c>
      <c r="K675" s="1761" t="s">
        <v>2319</v>
      </c>
      <c r="L675" s="1761" t="s">
        <v>2687</v>
      </c>
      <c r="M675" s="1825" t="s">
        <v>2687</v>
      </c>
      <c r="N675" s="1762">
        <v>9210000</v>
      </c>
      <c r="O675" s="1763" t="s">
        <v>2608</v>
      </c>
    </row>
    <row r="676" spans="1:15" ht="15">
      <c r="A676" s="1764" t="s">
        <v>2697</v>
      </c>
      <c r="B676" s="1758" t="s">
        <v>2609</v>
      </c>
      <c r="C676" s="1757">
        <v>13</v>
      </c>
      <c r="D676" s="1758" t="s">
        <v>2610</v>
      </c>
      <c r="E676" s="1758" t="s">
        <v>2637</v>
      </c>
      <c r="F676" s="1759">
        <v>10430</v>
      </c>
      <c r="G676" s="1759">
        <v>6029999</v>
      </c>
      <c r="H676" s="1760" t="s">
        <v>2686</v>
      </c>
      <c r="I676" s="1758" t="s">
        <v>2611</v>
      </c>
      <c r="J676" s="1645" t="s">
        <v>2686</v>
      </c>
      <c r="K676" s="1761" t="s">
        <v>2319</v>
      </c>
      <c r="L676" s="1761" t="s">
        <v>2687</v>
      </c>
      <c r="M676" s="1825" t="s">
        <v>2687</v>
      </c>
      <c r="N676" s="1762">
        <v>33640000</v>
      </c>
      <c r="O676" s="1763" t="s">
        <v>2612</v>
      </c>
    </row>
    <row r="677" spans="1:15" ht="15">
      <c r="A677" s="1764" t="s">
        <v>2697</v>
      </c>
      <c r="B677" s="1758" t="s">
        <v>2613</v>
      </c>
      <c r="C677" s="1757">
        <v>13</v>
      </c>
      <c r="D677" s="1758" t="s">
        <v>2614</v>
      </c>
      <c r="E677" s="1758" t="s">
        <v>2637</v>
      </c>
      <c r="F677" s="1759">
        <v>10430</v>
      </c>
      <c r="G677" s="1759">
        <v>6029999</v>
      </c>
      <c r="H677" s="1760" t="s">
        <v>2686</v>
      </c>
      <c r="I677" s="1758" t="s">
        <v>2611</v>
      </c>
      <c r="J677" s="1645" t="s">
        <v>2686</v>
      </c>
      <c r="K677" s="1761" t="s">
        <v>2319</v>
      </c>
      <c r="L677" s="1761" t="s">
        <v>2687</v>
      </c>
      <c r="M677" s="1825" t="s">
        <v>2687</v>
      </c>
      <c r="N677" s="1762">
        <v>8230000</v>
      </c>
      <c r="O677" s="1763" t="s">
        <v>2615</v>
      </c>
    </row>
    <row r="678" spans="1:15" ht="15">
      <c r="A678" s="1764" t="s">
        <v>2697</v>
      </c>
      <c r="B678" s="1645" t="s">
        <v>2616</v>
      </c>
      <c r="C678" s="1757">
        <v>13</v>
      </c>
      <c r="D678" s="1645" t="s">
        <v>2617</v>
      </c>
      <c r="E678" s="1758" t="s">
        <v>2637</v>
      </c>
      <c r="F678" s="1759">
        <v>10430</v>
      </c>
      <c r="G678" s="1759">
        <v>6029999</v>
      </c>
      <c r="H678" s="1760" t="s">
        <v>2686</v>
      </c>
      <c r="I678" s="1645" t="s">
        <v>2618</v>
      </c>
      <c r="J678" s="1645" t="s">
        <v>2686</v>
      </c>
      <c r="K678" s="1761" t="s">
        <v>2319</v>
      </c>
      <c r="L678" s="1761" t="s">
        <v>2687</v>
      </c>
      <c r="M678" s="1825" t="s">
        <v>2687</v>
      </c>
      <c r="N678" s="1762">
        <v>16620000</v>
      </c>
      <c r="O678" s="1766" t="s">
        <v>2619</v>
      </c>
    </row>
    <row r="679" spans="1:15" ht="15.75" thickBot="1">
      <c r="A679" s="1767" t="s">
        <v>2697</v>
      </c>
      <c r="B679" s="1769" t="s">
        <v>2620</v>
      </c>
      <c r="C679" s="1768"/>
      <c r="D679" s="1769" t="s">
        <v>2621</v>
      </c>
      <c r="E679" s="1769" t="s">
        <v>2637</v>
      </c>
      <c r="F679" s="1770">
        <v>10430</v>
      </c>
      <c r="G679" s="1770">
        <v>6029999</v>
      </c>
      <c r="H679" s="1771" t="s">
        <v>2686</v>
      </c>
      <c r="I679" s="1769" t="s">
        <v>2618</v>
      </c>
      <c r="J679" s="1772" t="s">
        <v>2686</v>
      </c>
      <c r="K679" s="1773" t="s">
        <v>2319</v>
      </c>
      <c r="L679" s="1773" t="s">
        <v>2687</v>
      </c>
      <c r="M679" s="1827" t="s">
        <v>2687</v>
      </c>
      <c r="N679" s="1774">
        <v>12670000</v>
      </c>
      <c r="O679" s="1775" t="s">
        <v>2622</v>
      </c>
    </row>
    <row r="680" spans="1:15" ht="15.75" thickBot="1">
      <c r="A680" s="1828"/>
      <c r="B680" s="1829"/>
      <c r="C680" s="1829"/>
      <c r="D680" s="1830"/>
      <c r="E680" s="1829"/>
      <c r="F680" s="1829" t="s">
        <v>2688</v>
      </c>
      <c r="G680" s="1830"/>
      <c r="H680" s="1830"/>
      <c r="I680" s="1829"/>
      <c r="J680" s="1829"/>
      <c r="K680" s="1829"/>
      <c r="L680" s="1829"/>
      <c r="M680" s="1831"/>
      <c r="N680" s="1832">
        <f>SUM(N681)</f>
        <v>3597290000</v>
      </c>
      <c r="O680" s="1833"/>
    </row>
    <row r="681" spans="1:15" ht="15.75" thickBot="1">
      <c r="A681" s="1834" t="s">
        <v>2697</v>
      </c>
      <c r="B681" s="1835" t="s">
        <v>2316</v>
      </c>
      <c r="C681" s="1836">
        <v>13</v>
      </c>
      <c r="D681" s="1836" t="s">
        <v>2384</v>
      </c>
      <c r="E681" s="1836" t="s">
        <v>2637</v>
      </c>
      <c r="F681" s="1837">
        <v>10430</v>
      </c>
      <c r="G681" s="1836">
        <v>6029999</v>
      </c>
      <c r="H681" s="1838" t="s">
        <v>2686</v>
      </c>
      <c r="I681" s="1836">
        <v>3535</v>
      </c>
      <c r="J681" s="1723" t="s">
        <v>2686</v>
      </c>
      <c r="K681" s="1721" t="s">
        <v>2319</v>
      </c>
      <c r="L681" s="1721" t="s">
        <v>2687</v>
      </c>
      <c r="M681" s="1721" t="s">
        <v>2687</v>
      </c>
      <c r="N681" s="1839">
        <f>N618</f>
        <v>3597290000</v>
      </c>
      <c r="O681" s="1840" t="s">
        <v>2689</v>
      </c>
    </row>
    <row r="682" spans="1:15" ht="15">
      <c r="A682" s="1808"/>
      <c r="B682" s="1808"/>
      <c r="C682" s="1755"/>
      <c r="D682" s="1809"/>
      <c r="E682" s="1808"/>
      <c r="F682" s="1808"/>
      <c r="G682" s="1809"/>
      <c r="H682" s="1809"/>
      <c r="I682" s="1755"/>
      <c r="J682" s="1755"/>
      <c r="K682" s="1755"/>
      <c r="L682" s="1755"/>
      <c r="M682" s="1610"/>
      <c r="N682" s="1610"/>
      <c r="O682" s="1755"/>
    </row>
    <row r="684" spans="1:15">
      <c r="A684" s="1841" t="s">
        <v>2300</v>
      </c>
      <c r="B684" s="1842"/>
      <c r="C684" s="1842"/>
      <c r="D684" s="1842"/>
      <c r="E684" s="1843"/>
      <c r="F684" s="1842"/>
      <c r="G684" s="1842"/>
      <c r="H684" s="1843"/>
      <c r="I684" s="1842"/>
      <c r="J684" s="1842"/>
    </row>
    <row r="685" spans="1:15">
      <c r="A685" s="1841" t="s">
        <v>27</v>
      </c>
      <c r="B685" s="1842"/>
      <c r="C685" s="1842"/>
      <c r="D685" s="1842"/>
      <c r="E685" s="1843"/>
      <c r="F685" s="1842"/>
      <c r="G685" s="1842"/>
      <c r="H685" s="1843"/>
      <c r="I685" s="1842"/>
      <c r="J685" s="1842"/>
    </row>
    <row r="686" spans="1:15">
      <c r="A686" s="1841"/>
      <c r="B686" s="1842"/>
      <c r="C686" s="1842"/>
      <c r="D686" s="1842"/>
      <c r="E686" s="1843" t="s">
        <v>2698</v>
      </c>
      <c r="F686" s="1842"/>
      <c r="G686" s="1842"/>
      <c r="H686" s="1843"/>
      <c r="I686" s="1842"/>
      <c r="J686" s="1842"/>
    </row>
    <row r="687" spans="1:15" ht="13.5" thickBot="1">
      <c r="A687" s="1842"/>
      <c r="B687" s="1842"/>
      <c r="C687" s="1842"/>
      <c r="D687" s="1842"/>
      <c r="E687" s="1842"/>
      <c r="F687" s="1842"/>
      <c r="G687" s="1842"/>
      <c r="H687" s="1842"/>
      <c r="I687" s="1842"/>
      <c r="J687" s="1842"/>
    </row>
    <row r="688" spans="1:15" ht="39" thickBot="1">
      <c r="A688" s="1844" t="s">
        <v>2303</v>
      </c>
      <c r="B688" s="1845" t="s">
        <v>2304</v>
      </c>
      <c r="C688" s="1844" t="s">
        <v>2305</v>
      </c>
      <c r="D688" s="1845" t="s">
        <v>2699</v>
      </c>
      <c r="E688" s="1846" t="s">
        <v>2306</v>
      </c>
      <c r="F688" s="1844" t="s">
        <v>2307</v>
      </c>
      <c r="G688" s="1845" t="s">
        <v>87</v>
      </c>
      <c r="H688" s="1847" t="s">
        <v>2700</v>
      </c>
      <c r="I688" s="1848" t="s">
        <v>2633</v>
      </c>
      <c r="J688" s="1849" t="s">
        <v>2314</v>
      </c>
    </row>
    <row r="689" spans="1:10" ht="13.5" thickBot="1">
      <c r="A689" s="1850"/>
      <c r="B689" s="1851"/>
      <c r="C689" s="1851"/>
      <c r="D689" s="1851"/>
      <c r="E689" s="1852"/>
      <c r="F689" s="1853" t="s">
        <v>2636</v>
      </c>
      <c r="G689" s="1851"/>
      <c r="H689" s="1854"/>
      <c r="I689" s="1851"/>
      <c r="J689" s="1855">
        <f>SUM(J690:J811)</f>
        <v>3552370000</v>
      </c>
    </row>
    <row r="690" spans="1:10">
      <c r="A690" s="1856" t="s">
        <v>2417</v>
      </c>
      <c r="B690" s="1857">
        <v>13</v>
      </c>
      <c r="C690" s="1858" t="s">
        <v>2418</v>
      </c>
      <c r="D690" s="1859" t="s">
        <v>2419</v>
      </c>
      <c r="E690" s="1858" t="s">
        <v>2637</v>
      </c>
      <c r="F690" s="1860">
        <v>10430</v>
      </c>
      <c r="G690" s="1860">
        <v>6060000</v>
      </c>
      <c r="H690" s="1861" t="s">
        <v>2387</v>
      </c>
      <c r="I690" s="1862" t="s">
        <v>2361</v>
      </c>
      <c r="J690" s="1863">
        <v>5410000</v>
      </c>
    </row>
    <row r="691" spans="1:10">
      <c r="A691" s="1864" t="s">
        <v>2420</v>
      </c>
      <c r="B691" s="1865">
        <v>13</v>
      </c>
      <c r="C691" s="1866" t="s">
        <v>2421</v>
      </c>
      <c r="D691" s="1867" t="s">
        <v>2422</v>
      </c>
      <c r="E691" s="1868" t="s">
        <v>2637</v>
      </c>
      <c r="F691" s="1869">
        <v>10430</v>
      </c>
      <c r="G691" s="1869">
        <v>6060000</v>
      </c>
      <c r="H691" s="1866" t="s">
        <v>2387</v>
      </c>
      <c r="I691" s="1870" t="s">
        <v>2361</v>
      </c>
      <c r="J691" s="1871">
        <v>2630000</v>
      </c>
    </row>
    <row r="692" spans="1:10">
      <c r="A692" s="1872" t="s">
        <v>2423</v>
      </c>
      <c r="B692" s="1865">
        <v>13</v>
      </c>
      <c r="C692" s="1868" t="s">
        <v>2424</v>
      </c>
      <c r="D692" s="1867" t="s">
        <v>2426</v>
      </c>
      <c r="E692" s="1868" t="s">
        <v>2637</v>
      </c>
      <c r="F692" s="1869">
        <v>10430</v>
      </c>
      <c r="G692" s="1869">
        <v>6060000</v>
      </c>
      <c r="H692" s="1866" t="s">
        <v>2387</v>
      </c>
      <c r="I692" s="1870" t="s">
        <v>2425</v>
      </c>
      <c r="J692" s="1871">
        <v>2930000</v>
      </c>
    </row>
    <row r="693" spans="1:10">
      <c r="A693" s="1872" t="s">
        <v>2427</v>
      </c>
      <c r="B693" s="1865">
        <v>13</v>
      </c>
      <c r="C693" s="1868" t="s">
        <v>2428</v>
      </c>
      <c r="D693" s="1867" t="s">
        <v>2429</v>
      </c>
      <c r="E693" s="1868" t="s">
        <v>2637</v>
      </c>
      <c r="F693" s="1869">
        <v>10430</v>
      </c>
      <c r="G693" s="1869">
        <v>6060000</v>
      </c>
      <c r="H693" s="1866" t="s">
        <v>2387</v>
      </c>
      <c r="I693" s="1870" t="s">
        <v>2333</v>
      </c>
      <c r="J693" s="1871">
        <v>4860000</v>
      </c>
    </row>
    <row r="694" spans="1:10">
      <c r="A694" s="1872" t="s">
        <v>2331</v>
      </c>
      <c r="B694" s="1865">
        <v>13</v>
      </c>
      <c r="C694" s="1868" t="s">
        <v>2430</v>
      </c>
      <c r="D694" s="1867" t="s">
        <v>2431</v>
      </c>
      <c r="E694" s="1868" t="s">
        <v>2637</v>
      </c>
      <c r="F694" s="1869">
        <v>10430</v>
      </c>
      <c r="G694" s="1869">
        <v>6060000</v>
      </c>
      <c r="H694" s="1866" t="s">
        <v>2387</v>
      </c>
      <c r="I694" s="1870" t="s">
        <v>2333</v>
      </c>
      <c r="J694" s="1871">
        <v>3250000</v>
      </c>
    </row>
    <row r="695" spans="1:10">
      <c r="A695" s="1872">
        <v>106</v>
      </c>
      <c r="B695" s="1865">
        <v>13</v>
      </c>
      <c r="C695" s="1868">
        <v>2106001</v>
      </c>
      <c r="D695" s="1867" t="s">
        <v>2432</v>
      </c>
      <c r="E695" s="1868" t="s">
        <v>2637</v>
      </c>
      <c r="F695" s="1869">
        <v>10430</v>
      </c>
      <c r="G695" s="1869">
        <v>6060000</v>
      </c>
      <c r="H695" s="1866" t="s">
        <v>2387</v>
      </c>
      <c r="I695" s="1870" t="s">
        <v>2392</v>
      </c>
      <c r="J695" s="1871">
        <v>70260000</v>
      </c>
    </row>
    <row r="696" spans="1:10">
      <c r="A696" s="1872" t="s">
        <v>2433</v>
      </c>
      <c r="B696" s="1865">
        <v>13</v>
      </c>
      <c r="C696" s="1868" t="s">
        <v>2434</v>
      </c>
      <c r="D696" s="1867" t="s">
        <v>2436</v>
      </c>
      <c r="E696" s="1868" t="s">
        <v>2637</v>
      </c>
      <c r="F696" s="1869">
        <v>10430</v>
      </c>
      <c r="G696" s="1869">
        <v>6060000</v>
      </c>
      <c r="H696" s="1866" t="s">
        <v>2387</v>
      </c>
      <c r="I696" s="1870" t="s">
        <v>2435</v>
      </c>
      <c r="J696" s="1871">
        <v>20550000</v>
      </c>
    </row>
    <row r="697" spans="1:10">
      <c r="A697" s="1872" t="s">
        <v>2437</v>
      </c>
      <c r="B697" s="1865">
        <v>13</v>
      </c>
      <c r="C697" s="1868" t="s">
        <v>2438</v>
      </c>
      <c r="D697" s="1867" t="s">
        <v>2440</v>
      </c>
      <c r="E697" s="1868" t="s">
        <v>2637</v>
      </c>
      <c r="F697" s="1869">
        <v>10430</v>
      </c>
      <c r="G697" s="1869">
        <v>6060000</v>
      </c>
      <c r="H697" s="1866" t="s">
        <v>2387</v>
      </c>
      <c r="I697" s="1873" t="s">
        <v>2439</v>
      </c>
      <c r="J697" s="1871">
        <v>21670000</v>
      </c>
    </row>
    <row r="698" spans="1:10">
      <c r="A698" s="1872" t="s">
        <v>2441</v>
      </c>
      <c r="B698" s="1865">
        <v>13</v>
      </c>
      <c r="C698" s="1868" t="s">
        <v>2442</v>
      </c>
      <c r="D698" s="1867" t="s">
        <v>2443</v>
      </c>
      <c r="E698" s="1868" t="s">
        <v>2637</v>
      </c>
      <c r="F698" s="1869">
        <v>10430</v>
      </c>
      <c r="G698" s="1869">
        <v>6060000</v>
      </c>
      <c r="H698" s="1866" t="s">
        <v>2387</v>
      </c>
      <c r="I698" s="1873" t="s">
        <v>2439</v>
      </c>
      <c r="J698" s="1874">
        <v>18380000</v>
      </c>
    </row>
    <row r="699" spans="1:10">
      <c r="A699" s="1872" t="s">
        <v>2444</v>
      </c>
      <c r="B699" s="1865">
        <v>13</v>
      </c>
      <c r="C699" s="1868" t="s">
        <v>2445</v>
      </c>
      <c r="D699" s="1867" t="s">
        <v>2446</v>
      </c>
      <c r="E699" s="1868" t="s">
        <v>2637</v>
      </c>
      <c r="F699" s="1869">
        <v>10430</v>
      </c>
      <c r="G699" s="1869">
        <v>6060000</v>
      </c>
      <c r="H699" s="1866" t="s">
        <v>2387</v>
      </c>
      <c r="I699" s="1870" t="s">
        <v>2349</v>
      </c>
      <c r="J699" s="1871">
        <v>1580000</v>
      </c>
    </row>
    <row r="700" spans="1:10">
      <c r="A700" s="1872" t="s">
        <v>2447</v>
      </c>
      <c r="B700" s="1865">
        <v>13</v>
      </c>
      <c r="C700" s="1868" t="s">
        <v>2448</v>
      </c>
      <c r="D700" s="1867" t="s">
        <v>2449</v>
      </c>
      <c r="E700" s="1868" t="s">
        <v>2637</v>
      </c>
      <c r="F700" s="1869">
        <v>10430</v>
      </c>
      <c r="G700" s="1869">
        <v>6060000</v>
      </c>
      <c r="H700" s="1866" t="s">
        <v>2387</v>
      </c>
      <c r="I700" s="1870" t="s">
        <v>2349</v>
      </c>
      <c r="J700" s="1871">
        <v>820000</v>
      </c>
    </row>
    <row r="701" spans="1:10">
      <c r="A701" s="1872" t="s">
        <v>2450</v>
      </c>
      <c r="B701" s="1865">
        <v>13</v>
      </c>
      <c r="C701" s="1868" t="s">
        <v>2451</v>
      </c>
      <c r="D701" s="1867" t="s">
        <v>2453</v>
      </c>
      <c r="E701" s="1868" t="s">
        <v>2637</v>
      </c>
      <c r="F701" s="1869">
        <v>10430</v>
      </c>
      <c r="G701" s="1869">
        <v>6060000</v>
      </c>
      <c r="H701" s="1866" t="s">
        <v>2387</v>
      </c>
      <c r="I701" s="1870" t="s">
        <v>2452</v>
      </c>
      <c r="J701" s="1874">
        <v>4680000</v>
      </c>
    </row>
    <row r="702" spans="1:10">
      <c r="A702" s="1872" t="s">
        <v>2454</v>
      </c>
      <c r="B702" s="1865">
        <v>13</v>
      </c>
      <c r="C702" s="1868" t="s">
        <v>2455</v>
      </c>
      <c r="D702" s="1867" t="s">
        <v>2456</v>
      </c>
      <c r="E702" s="1868" t="s">
        <v>2637</v>
      </c>
      <c r="F702" s="1869">
        <v>10430</v>
      </c>
      <c r="G702" s="1869">
        <v>6060000</v>
      </c>
      <c r="H702" s="1866" t="s">
        <v>2387</v>
      </c>
      <c r="I702" s="1870" t="s">
        <v>2397</v>
      </c>
      <c r="J702" s="1871">
        <v>64600000</v>
      </c>
    </row>
    <row r="703" spans="1:10">
      <c r="A703" s="1872" t="s">
        <v>2457</v>
      </c>
      <c r="B703" s="1865">
        <v>13</v>
      </c>
      <c r="C703" s="1868" t="s">
        <v>2458</v>
      </c>
      <c r="D703" s="1867" t="s">
        <v>2459</v>
      </c>
      <c r="E703" s="1868" t="s">
        <v>2637</v>
      </c>
      <c r="F703" s="1869">
        <v>10430</v>
      </c>
      <c r="G703" s="1869">
        <v>6060000</v>
      </c>
      <c r="H703" s="1866" t="s">
        <v>2387</v>
      </c>
      <c r="I703" s="1870" t="s">
        <v>2397</v>
      </c>
      <c r="J703" s="1871">
        <v>7130000</v>
      </c>
    </row>
    <row r="704" spans="1:10">
      <c r="A704" s="1872" t="s">
        <v>2460</v>
      </c>
      <c r="B704" s="1865">
        <v>13</v>
      </c>
      <c r="C704" s="1868" t="s">
        <v>2461</v>
      </c>
      <c r="D704" s="1867" t="s">
        <v>2462</v>
      </c>
      <c r="E704" s="1868" t="s">
        <v>2637</v>
      </c>
      <c r="F704" s="1869">
        <v>10430</v>
      </c>
      <c r="G704" s="1869">
        <v>6060000</v>
      </c>
      <c r="H704" s="1866" t="s">
        <v>2387</v>
      </c>
      <c r="I704" s="1870" t="s">
        <v>2397</v>
      </c>
      <c r="J704" s="1871">
        <v>10020000</v>
      </c>
    </row>
    <row r="705" spans="1:10">
      <c r="A705" s="1872" t="s">
        <v>2463</v>
      </c>
      <c r="B705" s="1865">
        <v>13</v>
      </c>
      <c r="C705" s="1868" t="s">
        <v>2464</v>
      </c>
      <c r="D705" s="1867" t="s">
        <v>2466</v>
      </c>
      <c r="E705" s="1868" t="s">
        <v>2637</v>
      </c>
      <c r="F705" s="1869">
        <v>10430</v>
      </c>
      <c r="G705" s="1869">
        <v>6060000</v>
      </c>
      <c r="H705" s="1866" t="s">
        <v>2387</v>
      </c>
      <c r="I705" s="1870" t="s">
        <v>2465</v>
      </c>
      <c r="J705" s="1871">
        <v>18330000</v>
      </c>
    </row>
    <row r="706" spans="1:10">
      <c r="A706" s="1872" t="s">
        <v>2467</v>
      </c>
      <c r="B706" s="1865">
        <v>13</v>
      </c>
      <c r="C706" s="1868" t="s">
        <v>2468</v>
      </c>
      <c r="D706" s="1867" t="s">
        <v>2470</v>
      </c>
      <c r="E706" s="1868" t="s">
        <v>2637</v>
      </c>
      <c r="F706" s="1869">
        <v>10430</v>
      </c>
      <c r="G706" s="1869">
        <v>6060000</v>
      </c>
      <c r="H706" s="1866" t="s">
        <v>2387</v>
      </c>
      <c r="I706" s="1870" t="s">
        <v>2469</v>
      </c>
      <c r="J706" s="1871">
        <v>26550000</v>
      </c>
    </row>
    <row r="707" spans="1:10">
      <c r="A707" s="1872" t="s">
        <v>2471</v>
      </c>
      <c r="B707" s="1865">
        <v>13</v>
      </c>
      <c r="C707" s="1868" t="s">
        <v>2472</v>
      </c>
      <c r="D707" s="1867" t="s">
        <v>2474</v>
      </c>
      <c r="E707" s="1868" t="s">
        <v>2637</v>
      </c>
      <c r="F707" s="1869">
        <v>10430</v>
      </c>
      <c r="G707" s="1869">
        <v>6060000</v>
      </c>
      <c r="H707" s="1866" t="s">
        <v>2387</v>
      </c>
      <c r="I707" s="1870" t="s">
        <v>2473</v>
      </c>
      <c r="J707" s="1871">
        <v>35670000</v>
      </c>
    </row>
    <row r="708" spans="1:10">
      <c r="A708" s="1872" t="s">
        <v>2475</v>
      </c>
      <c r="B708" s="1865">
        <v>13</v>
      </c>
      <c r="C708" s="1868" t="s">
        <v>2476</v>
      </c>
      <c r="D708" s="1867" t="s">
        <v>2477</v>
      </c>
      <c r="E708" s="1868" t="s">
        <v>2637</v>
      </c>
      <c r="F708" s="1869">
        <v>10430</v>
      </c>
      <c r="G708" s="1869">
        <v>6060000</v>
      </c>
      <c r="H708" s="1866" t="s">
        <v>2387</v>
      </c>
      <c r="I708" s="1870" t="s">
        <v>2473</v>
      </c>
      <c r="J708" s="1871">
        <v>31120000</v>
      </c>
    </row>
    <row r="709" spans="1:10">
      <c r="A709" s="1872" t="s">
        <v>2478</v>
      </c>
      <c r="B709" s="1865">
        <v>13</v>
      </c>
      <c r="C709" s="1868" t="s">
        <v>2479</v>
      </c>
      <c r="D709" s="1867" t="s">
        <v>2480</v>
      </c>
      <c r="E709" s="1868" t="s">
        <v>2637</v>
      </c>
      <c r="F709" s="1869">
        <v>10430</v>
      </c>
      <c r="G709" s="1869">
        <v>6060000</v>
      </c>
      <c r="H709" s="1866" t="s">
        <v>2387</v>
      </c>
      <c r="I709" s="1870" t="s">
        <v>2325</v>
      </c>
      <c r="J709" s="1871">
        <v>6140000</v>
      </c>
    </row>
    <row r="710" spans="1:10">
      <c r="A710" s="1872" t="s">
        <v>2481</v>
      </c>
      <c r="B710" s="1865">
        <v>13</v>
      </c>
      <c r="C710" s="1868" t="s">
        <v>2482</v>
      </c>
      <c r="D710" s="1867" t="s">
        <v>2483</v>
      </c>
      <c r="E710" s="1868" t="s">
        <v>2637</v>
      </c>
      <c r="F710" s="1869">
        <v>10430</v>
      </c>
      <c r="G710" s="1869">
        <v>6060000</v>
      </c>
      <c r="H710" s="1866" t="s">
        <v>2387</v>
      </c>
      <c r="I710" s="1870" t="s">
        <v>2325</v>
      </c>
      <c r="J710" s="1871">
        <v>1950000</v>
      </c>
    </row>
    <row r="711" spans="1:10">
      <c r="A711" s="1872" t="s">
        <v>2484</v>
      </c>
      <c r="B711" s="1865">
        <v>13</v>
      </c>
      <c r="C711" s="1868" t="s">
        <v>2485</v>
      </c>
      <c r="D711" s="1867" t="s">
        <v>2486</v>
      </c>
      <c r="E711" s="1868" t="s">
        <v>2637</v>
      </c>
      <c r="F711" s="1869">
        <v>10430</v>
      </c>
      <c r="G711" s="1869">
        <v>6060000</v>
      </c>
      <c r="H711" s="1866" t="s">
        <v>2387</v>
      </c>
      <c r="I711" s="1870" t="s">
        <v>2325</v>
      </c>
      <c r="J711" s="1871">
        <v>2260000</v>
      </c>
    </row>
    <row r="712" spans="1:10">
      <c r="A712" s="1872" t="s">
        <v>2487</v>
      </c>
      <c r="B712" s="1865">
        <v>13</v>
      </c>
      <c r="C712" s="1868" t="s">
        <v>2488</v>
      </c>
      <c r="D712" s="1867" t="s">
        <v>2490</v>
      </c>
      <c r="E712" s="1868" t="s">
        <v>2637</v>
      </c>
      <c r="F712" s="1869">
        <v>10430</v>
      </c>
      <c r="G712" s="1869">
        <v>6060000</v>
      </c>
      <c r="H712" s="1866" t="s">
        <v>2387</v>
      </c>
      <c r="I712" s="1870" t="s">
        <v>2489</v>
      </c>
      <c r="J712" s="1871">
        <v>4280000</v>
      </c>
    </row>
    <row r="713" spans="1:10">
      <c r="A713" s="1872" t="s">
        <v>2491</v>
      </c>
      <c r="B713" s="1865">
        <v>13</v>
      </c>
      <c r="C713" s="1868" t="s">
        <v>2492</v>
      </c>
      <c r="D713" s="1867" t="s">
        <v>2493</v>
      </c>
      <c r="E713" s="1868" t="s">
        <v>2637</v>
      </c>
      <c r="F713" s="1869">
        <v>10430</v>
      </c>
      <c r="G713" s="1869">
        <v>6060000</v>
      </c>
      <c r="H713" s="1866" t="s">
        <v>2387</v>
      </c>
      <c r="I713" s="1870" t="s">
        <v>2489</v>
      </c>
      <c r="J713" s="1871">
        <v>2730000</v>
      </c>
    </row>
    <row r="714" spans="1:10">
      <c r="A714" s="1872" t="s">
        <v>2494</v>
      </c>
      <c r="B714" s="1865">
        <v>13</v>
      </c>
      <c r="C714" s="1868" t="s">
        <v>2495</v>
      </c>
      <c r="D714" s="1867" t="s">
        <v>2497</v>
      </c>
      <c r="E714" s="1868" t="s">
        <v>2637</v>
      </c>
      <c r="F714" s="1869">
        <v>10430</v>
      </c>
      <c r="G714" s="1869">
        <v>6060000</v>
      </c>
      <c r="H714" s="1866" t="s">
        <v>2387</v>
      </c>
      <c r="I714" s="1870" t="s">
        <v>2496</v>
      </c>
      <c r="J714" s="1871">
        <v>8100000</v>
      </c>
    </row>
    <row r="715" spans="1:10">
      <c r="A715" s="1872" t="s">
        <v>148</v>
      </c>
      <c r="B715" s="1865">
        <v>13</v>
      </c>
      <c r="C715" s="1868" t="s">
        <v>2498</v>
      </c>
      <c r="D715" s="1867" t="s">
        <v>2500</v>
      </c>
      <c r="E715" s="1868" t="s">
        <v>2637</v>
      </c>
      <c r="F715" s="1869">
        <v>10430</v>
      </c>
      <c r="G715" s="1869">
        <v>6060000</v>
      </c>
      <c r="H715" s="1866" t="s">
        <v>2387</v>
      </c>
      <c r="I715" s="1870" t="s">
        <v>2499</v>
      </c>
      <c r="J715" s="1871">
        <v>770000</v>
      </c>
    </row>
    <row r="716" spans="1:10">
      <c r="A716" s="1872" t="s">
        <v>2501</v>
      </c>
      <c r="B716" s="1865">
        <v>13</v>
      </c>
      <c r="C716" s="1868" t="s">
        <v>2502</v>
      </c>
      <c r="D716" s="1867" t="s">
        <v>2503</v>
      </c>
      <c r="E716" s="1868" t="s">
        <v>2637</v>
      </c>
      <c r="F716" s="1869">
        <v>10430</v>
      </c>
      <c r="G716" s="1869">
        <v>6060000</v>
      </c>
      <c r="H716" s="1866" t="s">
        <v>2387</v>
      </c>
      <c r="I716" s="1870" t="s">
        <v>2499</v>
      </c>
      <c r="J716" s="1871">
        <v>160000</v>
      </c>
    </row>
    <row r="717" spans="1:10">
      <c r="A717" s="1872" t="s">
        <v>2504</v>
      </c>
      <c r="B717" s="1865">
        <v>13</v>
      </c>
      <c r="C717" s="1868" t="s">
        <v>2505</v>
      </c>
      <c r="D717" s="1867" t="s">
        <v>2507</v>
      </c>
      <c r="E717" s="1868" t="s">
        <v>2637</v>
      </c>
      <c r="F717" s="1869">
        <v>10430</v>
      </c>
      <c r="G717" s="1869">
        <v>6060000</v>
      </c>
      <c r="H717" s="1866" t="s">
        <v>2387</v>
      </c>
      <c r="I717" s="1870" t="s">
        <v>2506</v>
      </c>
      <c r="J717" s="1871">
        <v>2540000</v>
      </c>
    </row>
    <row r="718" spans="1:10">
      <c r="A718" s="1872" t="s">
        <v>2508</v>
      </c>
      <c r="B718" s="1865">
        <v>13</v>
      </c>
      <c r="C718" s="1868" t="s">
        <v>2509</v>
      </c>
      <c r="D718" s="1867" t="s">
        <v>2510</v>
      </c>
      <c r="E718" s="1868" t="s">
        <v>2637</v>
      </c>
      <c r="F718" s="1869">
        <v>10430</v>
      </c>
      <c r="G718" s="1869">
        <v>6060000</v>
      </c>
      <c r="H718" s="1866" t="s">
        <v>2387</v>
      </c>
      <c r="I718" s="1870" t="s">
        <v>2506</v>
      </c>
      <c r="J718" s="1871">
        <v>3950000</v>
      </c>
    </row>
    <row r="719" spans="1:10">
      <c r="A719" s="1872" t="s">
        <v>2511</v>
      </c>
      <c r="B719" s="1865">
        <v>13</v>
      </c>
      <c r="C719" s="1868" t="s">
        <v>2512</v>
      </c>
      <c r="D719" s="1867" t="s">
        <v>2514</v>
      </c>
      <c r="E719" s="1868" t="s">
        <v>2637</v>
      </c>
      <c r="F719" s="1869">
        <v>10430</v>
      </c>
      <c r="G719" s="1869">
        <v>6060000</v>
      </c>
      <c r="H719" s="1866" t="s">
        <v>2387</v>
      </c>
      <c r="I719" s="1870" t="s">
        <v>2513</v>
      </c>
      <c r="J719" s="1871">
        <v>1070000</v>
      </c>
    </row>
    <row r="720" spans="1:10">
      <c r="A720" s="1872" t="s">
        <v>2515</v>
      </c>
      <c r="B720" s="1865">
        <v>13</v>
      </c>
      <c r="C720" s="1868" t="s">
        <v>2516</v>
      </c>
      <c r="D720" s="1867" t="s">
        <v>2517</v>
      </c>
      <c r="E720" s="1868" t="s">
        <v>2637</v>
      </c>
      <c r="F720" s="1869">
        <v>10430</v>
      </c>
      <c r="G720" s="1869">
        <v>6060000</v>
      </c>
      <c r="H720" s="1866" t="s">
        <v>2387</v>
      </c>
      <c r="I720" s="1870" t="s">
        <v>2513</v>
      </c>
      <c r="J720" s="1871">
        <v>1930000</v>
      </c>
    </row>
    <row r="721" spans="1:10">
      <c r="A721" s="1864" t="s">
        <v>2518</v>
      </c>
      <c r="B721" s="1865">
        <v>13</v>
      </c>
      <c r="C721" s="1866" t="s">
        <v>2519</v>
      </c>
      <c r="D721" s="1875" t="s">
        <v>2520</v>
      </c>
      <c r="E721" s="1868" t="s">
        <v>2637</v>
      </c>
      <c r="F721" s="1869">
        <v>10430</v>
      </c>
      <c r="G721" s="1869">
        <v>6060000</v>
      </c>
      <c r="H721" s="1866" t="s">
        <v>2387</v>
      </c>
      <c r="I721" s="1876" t="s">
        <v>2499</v>
      </c>
      <c r="J721" s="1871">
        <v>190000</v>
      </c>
    </row>
    <row r="722" spans="1:10">
      <c r="A722" s="1872" t="s">
        <v>2521</v>
      </c>
      <c r="B722" s="1865">
        <v>13</v>
      </c>
      <c r="C722" s="1868" t="s">
        <v>2522</v>
      </c>
      <c r="D722" s="1867" t="s">
        <v>2524</v>
      </c>
      <c r="E722" s="1868" t="s">
        <v>2637</v>
      </c>
      <c r="F722" s="1869">
        <v>10430</v>
      </c>
      <c r="G722" s="1869">
        <v>6060000</v>
      </c>
      <c r="H722" s="1866" t="s">
        <v>2387</v>
      </c>
      <c r="I722" s="1870" t="s">
        <v>2523</v>
      </c>
      <c r="J722" s="1871">
        <v>5600000</v>
      </c>
    </row>
    <row r="723" spans="1:10">
      <c r="A723" s="1872" t="s">
        <v>2525</v>
      </c>
      <c r="B723" s="1865">
        <v>13</v>
      </c>
      <c r="C723" s="1868" t="s">
        <v>2526</v>
      </c>
      <c r="D723" s="1867" t="s">
        <v>2527</v>
      </c>
      <c r="E723" s="1868" t="s">
        <v>2637</v>
      </c>
      <c r="F723" s="1869">
        <v>10430</v>
      </c>
      <c r="G723" s="1869">
        <v>6060000</v>
      </c>
      <c r="H723" s="1866" t="s">
        <v>2387</v>
      </c>
      <c r="I723" s="1870" t="s">
        <v>2523</v>
      </c>
      <c r="J723" s="1871">
        <v>22360000</v>
      </c>
    </row>
    <row r="724" spans="1:10">
      <c r="A724" s="1864" t="s">
        <v>2528</v>
      </c>
      <c r="B724" s="1865">
        <v>13</v>
      </c>
      <c r="C724" s="1866" t="s">
        <v>2529</v>
      </c>
      <c r="D724" s="1875" t="s">
        <v>2530</v>
      </c>
      <c r="E724" s="1868" t="s">
        <v>2637</v>
      </c>
      <c r="F724" s="1869">
        <v>10430</v>
      </c>
      <c r="G724" s="1869">
        <v>6060000</v>
      </c>
      <c r="H724" s="1866" t="s">
        <v>2387</v>
      </c>
      <c r="I724" s="1876" t="s">
        <v>2523</v>
      </c>
      <c r="J724" s="1871">
        <v>180000</v>
      </c>
    </row>
    <row r="725" spans="1:10">
      <c r="A725" s="1872" t="s">
        <v>2531</v>
      </c>
      <c r="B725" s="1865">
        <v>13</v>
      </c>
      <c r="C725" s="1868" t="s">
        <v>2532</v>
      </c>
      <c r="D725" s="1867" t="s">
        <v>2534</v>
      </c>
      <c r="E725" s="1868" t="s">
        <v>2637</v>
      </c>
      <c r="F725" s="1869">
        <v>10430</v>
      </c>
      <c r="G725" s="1869">
        <v>6060000</v>
      </c>
      <c r="H725" s="1866" t="s">
        <v>2387</v>
      </c>
      <c r="I725" s="1870" t="s">
        <v>2533</v>
      </c>
      <c r="J725" s="1871">
        <v>3230000</v>
      </c>
    </row>
    <row r="726" spans="1:10">
      <c r="A726" s="1872" t="s">
        <v>2535</v>
      </c>
      <c r="B726" s="1865">
        <v>13</v>
      </c>
      <c r="C726" s="1868" t="s">
        <v>2536</v>
      </c>
      <c r="D726" s="1867" t="s">
        <v>2538</v>
      </c>
      <c r="E726" s="1868" t="s">
        <v>2637</v>
      </c>
      <c r="F726" s="1869">
        <v>10430</v>
      </c>
      <c r="G726" s="1869">
        <v>6060000</v>
      </c>
      <c r="H726" s="1866" t="s">
        <v>2387</v>
      </c>
      <c r="I726" s="1870" t="s">
        <v>2537</v>
      </c>
      <c r="J726" s="1871">
        <v>8880000</v>
      </c>
    </row>
    <row r="727" spans="1:10">
      <c r="A727" s="1872" t="s">
        <v>2539</v>
      </c>
      <c r="B727" s="1865">
        <v>13</v>
      </c>
      <c r="C727" s="1868" t="s">
        <v>2540</v>
      </c>
      <c r="D727" s="1867" t="s">
        <v>2542</v>
      </c>
      <c r="E727" s="1868" t="s">
        <v>2637</v>
      </c>
      <c r="F727" s="1869">
        <v>10430</v>
      </c>
      <c r="G727" s="1869">
        <v>6060000</v>
      </c>
      <c r="H727" s="1866" t="s">
        <v>2387</v>
      </c>
      <c r="I727" s="1870" t="s">
        <v>2541</v>
      </c>
      <c r="J727" s="1871">
        <v>48320000</v>
      </c>
    </row>
    <row r="728" spans="1:10">
      <c r="A728" s="1872" t="s">
        <v>2701</v>
      </c>
      <c r="B728" s="1865">
        <v>13</v>
      </c>
      <c r="C728" s="1868" t="s">
        <v>2543</v>
      </c>
      <c r="D728" s="1867" t="s">
        <v>2545</v>
      </c>
      <c r="E728" s="1868" t="s">
        <v>2637</v>
      </c>
      <c r="F728" s="1869">
        <v>10430</v>
      </c>
      <c r="G728" s="1869">
        <v>6060000</v>
      </c>
      <c r="H728" s="1866" t="s">
        <v>2387</v>
      </c>
      <c r="I728" s="1870" t="s">
        <v>2544</v>
      </c>
      <c r="J728" s="1871">
        <v>56870000</v>
      </c>
    </row>
    <row r="729" spans="1:10">
      <c r="A729" s="1872" t="s">
        <v>2546</v>
      </c>
      <c r="B729" s="1865">
        <v>13</v>
      </c>
      <c r="C729" s="1868" t="s">
        <v>2547</v>
      </c>
      <c r="D729" s="1867" t="s">
        <v>2549</v>
      </c>
      <c r="E729" s="1868" t="s">
        <v>2637</v>
      </c>
      <c r="F729" s="1869">
        <v>10430</v>
      </c>
      <c r="G729" s="1869">
        <v>6060000</v>
      </c>
      <c r="H729" s="1866" t="s">
        <v>2387</v>
      </c>
      <c r="I729" s="1870" t="s">
        <v>2548</v>
      </c>
      <c r="J729" s="1871">
        <v>23680000</v>
      </c>
    </row>
    <row r="730" spans="1:10">
      <c r="A730" s="1872" t="s">
        <v>2550</v>
      </c>
      <c r="B730" s="1865">
        <v>13</v>
      </c>
      <c r="C730" s="1868" t="s">
        <v>2551</v>
      </c>
      <c r="D730" s="1867" t="s">
        <v>2553</v>
      </c>
      <c r="E730" s="1868" t="s">
        <v>2637</v>
      </c>
      <c r="F730" s="1869">
        <v>10430</v>
      </c>
      <c r="G730" s="1869">
        <v>6060000</v>
      </c>
      <c r="H730" s="1866" t="s">
        <v>2387</v>
      </c>
      <c r="I730" s="1870" t="s">
        <v>2552</v>
      </c>
      <c r="J730" s="1871">
        <v>20200000</v>
      </c>
    </row>
    <row r="731" spans="1:10">
      <c r="A731" s="1872" t="s">
        <v>2554</v>
      </c>
      <c r="B731" s="1865">
        <v>13</v>
      </c>
      <c r="C731" s="1868" t="s">
        <v>2555</v>
      </c>
      <c r="D731" s="1867" t="s">
        <v>2557</v>
      </c>
      <c r="E731" s="1868" t="s">
        <v>2637</v>
      </c>
      <c r="F731" s="1869">
        <v>10430</v>
      </c>
      <c r="G731" s="1869">
        <v>6060000</v>
      </c>
      <c r="H731" s="1866" t="s">
        <v>2387</v>
      </c>
      <c r="I731" s="1870" t="s">
        <v>2556</v>
      </c>
      <c r="J731" s="1871">
        <v>11440000</v>
      </c>
    </row>
    <row r="732" spans="1:10">
      <c r="A732" s="1872" t="s">
        <v>2558</v>
      </c>
      <c r="B732" s="1865">
        <v>13</v>
      </c>
      <c r="C732" s="1868" t="s">
        <v>2559</v>
      </c>
      <c r="D732" s="1867" t="s">
        <v>2561</v>
      </c>
      <c r="E732" s="1868" t="s">
        <v>2637</v>
      </c>
      <c r="F732" s="1869">
        <v>10430</v>
      </c>
      <c r="G732" s="1869">
        <v>6060000</v>
      </c>
      <c r="H732" s="1866" t="s">
        <v>2387</v>
      </c>
      <c r="I732" s="1870" t="s">
        <v>2560</v>
      </c>
      <c r="J732" s="1871">
        <v>12050000</v>
      </c>
    </row>
    <row r="733" spans="1:10">
      <c r="A733" s="1872" t="s">
        <v>2562</v>
      </c>
      <c r="B733" s="1865">
        <v>13</v>
      </c>
      <c r="C733" s="1868" t="s">
        <v>2563</v>
      </c>
      <c r="D733" s="1867" t="s">
        <v>2565</v>
      </c>
      <c r="E733" s="1868" t="s">
        <v>2637</v>
      </c>
      <c r="F733" s="1869">
        <v>10430</v>
      </c>
      <c r="G733" s="1869">
        <v>6060000</v>
      </c>
      <c r="H733" s="1866" t="s">
        <v>2387</v>
      </c>
      <c r="I733" s="1870" t="s">
        <v>2564</v>
      </c>
      <c r="J733" s="1871">
        <v>10790000</v>
      </c>
    </row>
    <row r="734" spans="1:10">
      <c r="A734" s="1872" t="s">
        <v>2566</v>
      </c>
      <c r="B734" s="1865">
        <v>13</v>
      </c>
      <c r="C734" s="1868" t="s">
        <v>2567</v>
      </c>
      <c r="D734" s="1867" t="s">
        <v>2569</v>
      </c>
      <c r="E734" s="1868" t="s">
        <v>2637</v>
      </c>
      <c r="F734" s="1869">
        <v>10430</v>
      </c>
      <c r="G734" s="1869">
        <v>6060000</v>
      </c>
      <c r="H734" s="1866" t="s">
        <v>2387</v>
      </c>
      <c r="I734" s="1870" t="s">
        <v>2568</v>
      </c>
      <c r="J734" s="1871">
        <v>14340000</v>
      </c>
    </row>
    <row r="735" spans="1:10">
      <c r="A735" s="1872" t="s">
        <v>2570</v>
      </c>
      <c r="B735" s="1865">
        <v>13</v>
      </c>
      <c r="C735" s="1868" t="s">
        <v>2571</v>
      </c>
      <c r="D735" s="1867" t="s">
        <v>2573</v>
      </c>
      <c r="E735" s="1868" t="s">
        <v>2637</v>
      </c>
      <c r="F735" s="1869">
        <v>10430</v>
      </c>
      <c r="G735" s="1869">
        <v>6060000</v>
      </c>
      <c r="H735" s="1866" t="s">
        <v>2387</v>
      </c>
      <c r="I735" s="1870" t="s">
        <v>2572</v>
      </c>
      <c r="J735" s="1871">
        <v>21340000</v>
      </c>
    </row>
    <row r="736" spans="1:10">
      <c r="A736" s="1872" t="s">
        <v>2574</v>
      </c>
      <c r="B736" s="1865">
        <v>13</v>
      </c>
      <c r="C736" s="1868" t="s">
        <v>2575</v>
      </c>
      <c r="D736" s="1867" t="s">
        <v>2576</v>
      </c>
      <c r="E736" s="1868" t="s">
        <v>2637</v>
      </c>
      <c r="F736" s="1869">
        <v>10430</v>
      </c>
      <c r="G736" s="1869">
        <v>6060000</v>
      </c>
      <c r="H736" s="1866" t="s">
        <v>2387</v>
      </c>
      <c r="I736" s="1870" t="s">
        <v>2572</v>
      </c>
      <c r="J736" s="1871">
        <v>12020000</v>
      </c>
    </row>
    <row r="737" spans="1:10">
      <c r="A737" s="1872" t="s">
        <v>2577</v>
      </c>
      <c r="B737" s="1865">
        <v>13</v>
      </c>
      <c r="C737" s="1868" t="s">
        <v>2578</v>
      </c>
      <c r="D737" s="1867" t="s">
        <v>2580</v>
      </c>
      <c r="E737" s="1868" t="s">
        <v>2637</v>
      </c>
      <c r="F737" s="1869">
        <v>10430</v>
      </c>
      <c r="G737" s="1869">
        <v>6060000</v>
      </c>
      <c r="H737" s="1866" t="s">
        <v>2387</v>
      </c>
      <c r="I737" s="1870" t="s">
        <v>2579</v>
      </c>
      <c r="J737" s="1871">
        <v>5480000</v>
      </c>
    </row>
    <row r="738" spans="1:10">
      <c r="A738" s="1872" t="s">
        <v>2581</v>
      </c>
      <c r="B738" s="1865">
        <v>13</v>
      </c>
      <c r="C738" s="1868" t="s">
        <v>2582</v>
      </c>
      <c r="D738" s="1867" t="s">
        <v>2583</v>
      </c>
      <c r="E738" s="1868" t="s">
        <v>2637</v>
      </c>
      <c r="F738" s="1869">
        <v>10430</v>
      </c>
      <c r="G738" s="1869">
        <v>6060000</v>
      </c>
      <c r="H738" s="1866" t="s">
        <v>2387</v>
      </c>
      <c r="I738" s="1870" t="s">
        <v>2579</v>
      </c>
      <c r="J738" s="1871">
        <v>5840000</v>
      </c>
    </row>
    <row r="739" spans="1:10">
      <c r="A739" s="1872" t="s">
        <v>2584</v>
      </c>
      <c r="B739" s="1865">
        <v>13</v>
      </c>
      <c r="C739" s="1868" t="s">
        <v>2585</v>
      </c>
      <c r="D739" s="1867" t="s">
        <v>2586</v>
      </c>
      <c r="E739" s="1868" t="s">
        <v>2637</v>
      </c>
      <c r="F739" s="1869">
        <v>10430</v>
      </c>
      <c r="G739" s="1869">
        <v>6060000</v>
      </c>
      <c r="H739" s="1866" t="s">
        <v>2387</v>
      </c>
      <c r="I739" s="1870" t="s">
        <v>2372</v>
      </c>
      <c r="J739" s="1871">
        <v>27260000</v>
      </c>
    </row>
    <row r="740" spans="1:10">
      <c r="A740" s="1872" t="s">
        <v>2587</v>
      </c>
      <c r="B740" s="1865">
        <v>13</v>
      </c>
      <c r="C740" s="1868" t="s">
        <v>2588</v>
      </c>
      <c r="D740" s="1877" t="s">
        <v>2589</v>
      </c>
      <c r="E740" s="1868" t="s">
        <v>2637</v>
      </c>
      <c r="F740" s="1869">
        <v>10430</v>
      </c>
      <c r="G740" s="1869">
        <v>6060000</v>
      </c>
      <c r="H740" s="1866" t="s">
        <v>2387</v>
      </c>
      <c r="I740" s="1870" t="s">
        <v>2372</v>
      </c>
      <c r="J740" s="1874">
        <v>900000</v>
      </c>
    </row>
    <row r="741" spans="1:10">
      <c r="A741" s="1872" t="s">
        <v>2590</v>
      </c>
      <c r="B741" s="1865">
        <v>13</v>
      </c>
      <c r="C741" s="1868" t="s">
        <v>2591</v>
      </c>
      <c r="D741" s="1867" t="s">
        <v>2592</v>
      </c>
      <c r="E741" s="1868" t="s">
        <v>2637</v>
      </c>
      <c r="F741" s="1869">
        <v>10430</v>
      </c>
      <c r="G741" s="1869">
        <v>6060000</v>
      </c>
      <c r="H741" s="1866" t="s">
        <v>2387</v>
      </c>
      <c r="I741" s="1870" t="s">
        <v>2372</v>
      </c>
      <c r="J741" s="1871">
        <v>1100000</v>
      </c>
    </row>
    <row r="742" spans="1:10">
      <c r="A742" s="1872" t="s">
        <v>2593</v>
      </c>
      <c r="B742" s="1865">
        <v>13</v>
      </c>
      <c r="C742" s="1868" t="s">
        <v>2594</v>
      </c>
      <c r="D742" s="1867" t="s">
        <v>2596</v>
      </c>
      <c r="E742" s="1868" t="s">
        <v>2637</v>
      </c>
      <c r="F742" s="1869">
        <v>10430</v>
      </c>
      <c r="G742" s="1869">
        <v>6060000</v>
      </c>
      <c r="H742" s="1866" t="s">
        <v>2387</v>
      </c>
      <c r="I742" s="1870" t="s">
        <v>2595</v>
      </c>
      <c r="J742" s="1871">
        <v>4680000</v>
      </c>
    </row>
    <row r="743" spans="1:10">
      <c r="A743" s="1872" t="s">
        <v>2597</v>
      </c>
      <c r="B743" s="1865">
        <v>13</v>
      </c>
      <c r="C743" s="1868" t="s">
        <v>2598</v>
      </c>
      <c r="D743" s="1867" t="s">
        <v>2599</v>
      </c>
      <c r="E743" s="1868" t="s">
        <v>2637</v>
      </c>
      <c r="F743" s="1869">
        <v>10430</v>
      </c>
      <c r="G743" s="1869">
        <v>6060000</v>
      </c>
      <c r="H743" s="1866" t="s">
        <v>2387</v>
      </c>
      <c r="I743" s="1870" t="s">
        <v>2595</v>
      </c>
      <c r="J743" s="1871">
        <v>3060000</v>
      </c>
    </row>
    <row r="744" spans="1:10">
      <c r="A744" s="1872" t="s">
        <v>2600</v>
      </c>
      <c r="B744" s="1865">
        <v>13</v>
      </c>
      <c r="C744" s="1868" t="s">
        <v>2601</v>
      </c>
      <c r="D744" s="1867" t="s">
        <v>2602</v>
      </c>
      <c r="E744" s="1868" t="s">
        <v>2637</v>
      </c>
      <c r="F744" s="1869">
        <v>10430</v>
      </c>
      <c r="G744" s="1869">
        <v>6060000</v>
      </c>
      <c r="H744" s="1866" t="s">
        <v>2387</v>
      </c>
      <c r="I744" s="1870" t="s">
        <v>2336</v>
      </c>
      <c r="J744" s="1871">
        <v>6140000</v>
      </c>
    </row>
    <row r="745" spans="1:10">
      <c r="A745" s="1872" t="s">
        <v>2603</v>
      </c>
      <c r="B745" s="1865">
        <v>13</v>
      </c>
      <c r="C745" s="1868" t="s">
        <v>2604</v>
      </c>
      <c r="D745" s="1867" t="s">
        <v>2605</v>
      </c>
      <c r="E745" s="1868" t="s">
        <v>2637</v>
      </c>
      <c r="F745" s="1869">
        <v>10430</v>
      </c>
      <c r="G745" s="1869">
        <v>6060000</v>
      </c>
      <c r="H745" s="1866" t="s">
        <v>2387</v>
      </c>
      <c r="I745" s="1870" t="s">
        <v>2336</v>
      </c>
      <c r="J745" s="1871">
        <v>5170000</v>
      </c>
    </row>
    <row r="746" spans="1:10">
      <c r="A746" s="1872" t="s">
        <v>2606</v>
      </c>
      <c r="B746" s="1865">
        <v>13</v>
      </c>
      <c r="C746" s="1868" t="s">
        <v>2607</v>
      </c>
      <c r="D746" s="1867" t="s">
        <v>2608</v>
      </c>
      <c r="E746" s="1868" t="s">
        <v>2637</v>
      </c>
      <c r="F746" s="1869">
        <v>10430</v>
      </c>
      <c r="G746" s="1869">
        <v>6060000</v>
      </c>
      <c r="H746" s="1866" t="s">
        <v>2387</v>
      </c>
      <c r="I746" s="1870" t="s">
        <v>2336</v>
      </c>
      <c r="J746" s="1871">
        <v>790000</v>
      </c>
    </row>
    <row r="747" spans="1:10">
      <c r="A747" s="1872" t="s">
        <v>2609</v>
      </c>
      <c r="B747" s="1865">
        <v>13</v>
      </c>
      <c r="C747" s="1868" t="s">
        <v>2610</v>
      </c>
      <c r="D747" s="1867" t="s">
        <v>2612</v>
      </c>
      <c r="E747" s="1868" t="s">
        <v>2637</v>
      </c>
      <c r="F747" s="1869">
        <v>10430</v>
      </c>
      <c r="G747" s="1869">
        <v>6060000</v>
      </c>
      <c r="H747" s="1866" t="s">
        <v>2387</v>
      </c>
      <c r="I747" s="1870" t="s">
        <v>2611</v>
      </c>
      <c r="J747" s="1871">
        <v>2520000</v>
      </c>
    </row>
    <row r="748" spans="1:10">
      <c r="A748" s="1872" t="s">
        <v>2613</v>
      </c>
      <c r="B748" s="1865">
        <v>13</v>
      </c>
      <c r="C748" s="1868" t="s">
        <v>2614</v>
      </c>
      <c r="D748" s="1867" t="s">
        <v>2615</v>
      </c>
      <c r="E748" s="1868" t="s">
        <v>2637</v>
      </c>
      <c r="F748" s="1869">
        <v>10430</v>
      </c>
      <c r="G748" s="1869">
        <v>6060000</v>
      </c>
      <c r="H748" s="1866" t="s">
        <v>2387</v>
      </c>
      <c r="I748" s="1870" t="s">
        <v>2611</v>
      </c>
      <c r="J748" s="1871">
        <v>940000</v>
      </c>
    </row>
    <row r="749" spans="1:10">
      <c r="A749" s="1864" t="s">
        <v>2616</v>
      </c>
      <c r="B749" s="1865">
        <v>13</v>
      </c>
      <c r="C749" s="1866" t="s">
        <v>2617</v>
      </c>
      <c r="D749" s="1875" t="s">
        <v>2619</v>
      </c>
      <c r="E749" s="1868" t="s">
        <v>2637</v>
      </c>
      <c r="F749" s="1869">
        <v>10430</v>
      </c>
      <c r="G749" s="1869">
        <v>6060000</v>
      </c>
      <c r="H749" s="1866" t="s">
        <v>2387</v>
      </c>
      <c r="I749" s="1876" t="s">
        <v>2618</v>
      </c>
      <c r="J749" s="1871">
        <v>300000</v>
      </c>
    </row>
    <row r="750" spans="1:10">
      <c r="A750" s="1872" t="s">
        <v>2620</v>
      </c>
      <c r="B750" s="1865">
        <v>13</v>
      </c>
      <c r="C750" s="1868" t="s">
        <v>2621</v>
      </c>
      <c r="D750" s="1867" t="s">
        <v>2622</v>
      </c>
      <c r="E750" s="1868" t="s">
        <v>2637</v>
      </c>
      <c r="F750" s="1869">
        <v>10430</v>
      </c>
      <c r="G750" s="1869">
        <v>6060000</v>
      </c>
      <c r="H750" s="1866" t="s">
        <v>2387</v>
      </c>
      <c r="I750" s="1870" t="s">
        <v>2618</v>
      </c>
      <c r="J750" s="1871">
        <v>1020000</v>
      </c>
    </row>
    <row r="751" spans="1:10">
      <c r="A751" s="1872" t="s">
        <v>2417</v>
      </c>
      <c r="B751" s="1865">
        <v>13</v>
      </c>
      <c r="C751" s="1868" t="s">
        <v>2418</v>
      </c>
      <c r="D751" s="1867" t="s">
        <v>2419</v>
      </c>
      <c r="E751" s="1868" t="s">
        <v>2637</v>
      </c>
      <c r="F751" s="1869">
        <v>10430</v>
      </c>
      <c r="G751" s="1869">
        <v>6060000</v>
      </c>
      <c r="H751" s="1866" t="s">
        <v>2388</v>
      </c>
      <c r="I751" s="1870" t="s">
        <v>2361</v>
      </c>
      <c r="J751" s="1871">
        <v>61080000</v>
      </c>
    </row>
    <row r="752" spans="1:10">
      <c r="A752" s="1872" t="s">
        <v>2420</v>
      </c>
      <c r="B752" s="1865">
        <v>13</v>
      </c>
      <c r="C752" s="1868" t="s">
        <v>2421</v>
      </c>
      <c r="D752" s="1867" t="s">
        <v>2422</v>
      </c>
      <c r="E752" s="1868" t="s">
        <v>2637</v>
      </c>
      <c r="F752" s="1869">
        <v>10430</v>
      </c>
      <c r="G752" s="1869">
        <v>6060000</v>
      </c>
      <c r="H752" s="1866" t="s">
        <v>2388</v>
      </c>
      <c r="I752" s="1870" t="s">
        <v>2361</v>
      </c>
      <c r="J752" s="1871">
        <v>23260000</v>
      </c>
    </row>
    <row r="753" spans="1:10">
      <c r="A753" s="1872" t="s">
        <v>2423</v>
      </c>
      <c r="B753" s="1865">
        <v>13</v>
      </c>
      <c r="C753" s="1868" t="s">
        <v>2424</v>
      </c>
      <c r="D753" s="1867" t="s">
        <v>2426</v>
      </c>
      <c r="E753" s="1868" t="s">
        <v>2637</v>
      </c>
      <c r="F753" s="1869">
        <v>10430</v>
      </c>
      <c r="G753" s="1869">
        <v>6060000</v>
      </c>
      <c r="H753" s="1866" t="s">
        <v>2388</v>
      </c>
      <c r="I753" s="1870" t="s">
        <v>2425</v>
      </c>
      <c r="J753" s="1871">
        <v>32350000</v>
      </c>
    </row>
    <row r="754" spans="1:10">
      <c r="A754" s="1872" t="s">
        <v>2427</v>
      </c>
      <c r="B754" s="1865">
        <v>13</v>
      </c>
      <c r="C754" s="1868" t="s">
        <v>2428</v>
      </c>
      <c r="D754" s="1867" t="s">
        <v>2429</v>
      </c>
      <c r="E754" s="1868" t="s">
        <v>2637</v>
      </c>
      <c r="F754" s="1869">
        <v>10430</v>
      </c>
      <c r="G754" s="1869">
        <v>6060000</v>
      </c>
      <c r="H754" s="1866" t="s">
        <v>2388</v>
      </c>
      <c r="I754" s="1870" t="s">
        <v>2333</v>
      </c>
      <c r="J754" s="1871">
        <v>15230000</v>
      </c>
    </row>
    <row r="755" spans="1:10">
      <c r="A755" s="1872" t="s">
        <v>2331</v>
      </c>
      <c r="B755" s="1865">
        <v>13</v>
      </c>
      <c r="C755" s="1868" t="s">
        <v>2430</v>
      </c>
      <c r="D755" s="1867" t="s">
        <v>2431</v>
      </c>
      <c r="E755" s="1868" t="s">
        <v>2637</v>
      </c>
      <c r="F755" s="1869">
        <v>10430</v>
      </c>
      <c r="G755" s="1869">
        <v>6060000</v>
      </c>
      <c r="H755" s="1866" t="s">
        <v>2388</v>
      </c>
      <c r="I755" s="1870" t="s">
        <v>2333</v>
      </c>
      <c r="J755" s="1871">
        <v>12840000</v>
      </c>
    </row>
    <row r="756" spans="1:10">
      <c r="A756" s="1872">
        <v>106</v>
      </c>
      <c r="B756" s="1865">
        <v>13</v>
      </c>
      <c r="C756" s="1868">
        <v>2106001</v>
      </c>
      <c r="D756" s="1867" t="s">
        <v>2432</v>
      </c>
      <c r="E756" s="1868" t="s">
        <v>2637</v>
      </c>
      <c r="F756" s="1869">
        <v>10430</v>
      </c>
      <c r="G756" s="1869">
        <v>6060000</v>
      </c>
      <c r="H756" s="1866" t="s">
        <v>2388</v>
      </c>
      <c r="I756" s="1870" t="s">
        <v>2392</v>
      </c>
      <c r="J756" s="1871">
        <v>65520000</v>
      </c>
    </row>
    <row r="757" spans="1:10">
      <c r="A757" s="1872" t="s">
        <v>2433</v>
      </c>
      <c r="B757" s="1865">
        <v>13</v>
      </c>
      <c r="C757" s="1868" t="s">
        <v>2434</v>
      </c>
      <c r="D757" s="1867" t="s">
        <v>2436</v>
      </c>
      <c r="E757" s="1868" t="s">
        <v>2637</v>
      </c>
      <c r="F757" s="1869">
        <v>10430</v>
      </c>
      <c r="G757" s="1869">
        <v>6060000</v>
      </c>
      <c r="H757" s="1866" t="s">
        <v>2388</v>
      </c>
      <c r="I757" s="1870" t="s">
        <v>2435</v>
      </c>
      <c r="J757" s="1871">
        <v>27920000</v>
      </c>
    </row>
    <row r="758" spans="1:10">
      <c r="A758" s="1872" t="s">
        <v>2437</v>
      </c>
      <c r="B758" s="1865">
        <v>13</v>
      </c>
      <c r="C758" s="1868" t="s">
        <v>2438</v>
      </c>
      <c r="D758" s="1867" t="s">
        <v>2440</v>
      </c>
      <c r="E758" s="1868" t="s">
        <v>2637</v>
      </c>
      <c r="F758" s="1869">
        <v>10430</v>
      </c>
      <c r="G758" s="1869">
        <v>6060000</v>
      </c>
      <c r="H758" s="1866" t="s">
        <v>2388</v>
      </c>
      <c r="I758" s="1873" t="s">
        <v>2439</v>
      </c>
      <c r="J758" s="1871">
        <v>28340000</v>
      </c>
    </row>
    <row r="759" spans="1:10">
      <c r="A759" s="1872" t="s">
        <v>2441</v>
      </c>
      <c r="B759" s="1865">
        <v>13</v>
      </c>
      <c r="C759" s="1868" t="s">
        <v>2442</v>
      </c>
      <c r="D759" s="1867" t="s">
        <v>2443</v>
      </c>
      <c r="E759" s="1868" t="s">
        <v>2637</v>
      </c>
      <c r="F759" s="1869">
        <v>10430</v>
      </c>
      <c r="G759" s="1869">
        <v>6060000</v>
      </c>
      <c r="H759" s="1866" t="s">
        <v>2388</v>
      </c>
      <c r="I759" s="1873" t="s">
        <v>2439</v>
      </c>
      <c r="J759" s="1871">
        <v>19390000</v>
      </c>
    </row>
    <row r="760" spans="1:10">
      <c r="A760" s="1872" t="s">
        <v>2444</v>
      </c>
      <c r="B760" s="1865">
        <v>13</v>
      </c>
      <c r="C760" s="1868" t="s">
        <v>2445</v>
      </c>
      <c r="D760" s="1867" t="s">
        <v>2446</v>
      </c>
      <c r="E760" s="1868" t="s">
        <v>2637</v>
      </c>
      <c r="F760" s="1869">
        <v>10430</v>
      </c>
      <c r="G760" s="1869">
        <v>6060000</v>
      </c>
      <c r="H760" s="1866" t="s">
        <v>2388</v>
      </c>
      <c r="I760" s="1870" t="s">
        <v>2349</v>
      </c>
      <c r="J760" s="1871">
        <v>164940000</v>
      </c>
    </row>
    <row r="761" spans="1:10">
      <c r="A761" s="1872" t="s">
        <v>2447</v>
      </c>
      <c r="B761" s="1865">
        <v>13</v>
      </c>
      <c r="C761" s="1868" t="s">
        <v>2448</v>
      </c>
      <c r="D761" s="1867" t="s">
        <v>2449</v>
      </c>
      <c r="E761" s="1868" t="s">
        <v>2637</v>
      </c>
      <c r="F761" s="1869">
        <v>10430</v>
      </c>
      <c r="G761" s="1869">
        <v>6060000</v>
      </c>
      <c r="H761" s="1866" t="s">
        <v>2388</v>
      </c>
      <c r="I761" s="1870" t="s">
        <v>2349</v>
      </c>
      <c r="J761" s="1871">
        <v>28290000</v>
      </c>
    </row>
    <row r="762" spans="1:10">
      <c r="A762" s="1872" t="s">
        <v>2450</v>
      </c>
      <c r="B762" s="1865">
        <v>13</v>
      </c>
      <c r="C762" s="1868" t="s">
        <v>2451</v>
      </c>
      <c r="D762" s="1867" t="s">
        <v>2453</v>
      </c>
      <c r="E762" s="1868" t="s">
        <v>2637</v>
      </c>
      <c r="F762" s="1869">
        <v>10430</v>
      </c>
      <c r="G762" s="1869">
        <v>6060000</v>
      </c>
      <c r="H762" s="1866" t="s">
        <v>2388</v>
      </c>
      <c r="I762" s="1870" t="s">
        <v>2452</v>
      </c>
      <c r="J762" s="1874">
        <v>55680000</v>
      </c>
    </row>
    <row r="763" spans="1:10">
      <c r="A763" s="1872" t="s">
        <v>2454</v>
      </c>
      <c r="B763" s="1865">
        <v>13</v>
      </c>
      <c r="C763" s="1868" t="s">
        <v>2455</v>
      </c>
      <c r="D763" s="1867" t="s">
        <v>2456</v>
      </c>
      <c r="E763" s="1868" t="s">
        <v>2637</v>
      </c>
      <c r="F763" s="1869">
        <v>10430</v>
      </c>
      <c r="G763" s="1869">
        <v>6060000</v>
      </c>
      <c r="H763" s="1866" t="s">
        <v>2388</v>
      </c>
      <c r="I763" s="1870" t="s">
        <v>2397</v>
      </c>
      <c r="J763" s="1871">
        <v>209070000</v>
      </c>
    </row>
    <row r="764" spans="1:10">
      <c r="A764" s="1872" t="s">
        <v>2457</v>
      </c>
      <c r="B764" s="1865">
        <v>13</v>
      </c>
      <c r="C764" s="1868" t="s">
        <v>2458</v>
      </c>
      <c r="D764" s="1867" t="s">
        <v>2459</v>
      </c>
      <c r="E764" s="1868" t="s">
        <v>2637</v>
      </c>
      <c r="F764" s="1869">
        <v>10430</v>
      </c>
      <c r="G764" s="1869">
        <v>6060000</v>
      </c>
      <c r="H764" s="1866" t="s">
        <v>2388</v>
      </c>
      <c r="I764" s="1870" t="s">
        <v>2397</v>
      </c>
      <c r="J764" s="1871">
        <v>38430000</v>
      </c>
    </row>
    <row r="765" spans="1:10">
      <c r="A765" s="1872" t="s">
        <v>2460</v>
      </c>
      <c r="B765" s="1865">
        <v>13</v>
      </c>
      <c r="C765" s="1868" t="s">
        <v>2461</v>
      </c>
      <c r="D765" s="1867" t="s">
        <v>2462</v>
      </c>
      <c r="E765" s="1868" t="s">
        <v>2637</v>
      </c>
      <c r="F765" s="1869">
        <v>10430</v>
      </c>
      <c r="G765" s="1869">
        <v>6060000</v>
      </c>
      <c r="H765" s="1866" t="s">
        <v>2388</v>
      </c>
      <c r="I765" s="1870" t="s">
        <v>2397</v>
      </c>
      <c r="J765" s="1871">
        <v>25850000</v>
      </c>
    </row>
    <row r="766" spans="1:10">
      <c r="A766" s="1872" t="s">
        <v>2463</v>
      </c>
      <c r="B766" s="1865">
        <v>13</v>
      </c>
      <c r="C766" s="1868" t="s">
        <v>2464</v>
      </c>
      <c r="D766" s="1867" t="s">
        <v>2466</v>
      </c>
      <c r="E766" s="1868" t="s">
        <v>2637</v>
      </c>
      <c r="F766" s="1869">
        <v>10430</v>
      </c>
      <c r="G766" s="1869">
        <v>6060000</v>
      </c>
      <c r="H766" s="1866" t="s">
        <v>2388</v>
      </c>
      <c r="I766" s="1870" t="s">
        <v>2465</v>
      </c>
      <c r="J766" s="1871">
        <v>33950000</v>
      </c>
    </row>
    <row r="767" spans="1:10">
      <c r="A767" s="1872" t="s">
        <v>2467</v>
      </c>
      <c r="B767" s="1865">
        <v>13</v>
      </c>
      <c r="C767" s="1868" t="s">
        <v>2468</v>
      </c>
      <c r="D767" s="1867" t="s">
        <v>2470</v>
      </c>
      <c r="E767" s="1868" t="s">
        <v>2637</v>
      </c>
      <c r="F767" s="1869">
        <v>10430</v>
      </c>
      <c r="G767" s="1869">
        <v>6060000</v>
      </c>
      <c r="H767" s="1866" t="s">
        <v>2388</v>
      </c>
      <c r="I767" s="1870" t="s">
        <v>2469</v>
      </c>
      <c r="J767" s="1871">
        <v>41630000</v>
      </c>
    </row>
    <row r="768" spans="1:10">
      <c r="A768" s="1872" t="s">
        <v>2471</v>
      </c>
      <c r="B768" s="1865">
        <v>13</v>
      </c>
      <c r="C768" s="1868" t="s">
        <v>2472</v>
      </c>
      <c r="D768" s="1867" t="s">
        <v>2474</v>
      </c>
      <c r="E768" s="1868" t="s">
        <v>2637</v>
      </c>
      <c r="F768" s="1869">
        <v>10430</v>
      </c>
      <c r="G768" s="1869">
        <v>6060000</v>
      </c>
      <c r="H768" s="1866" t="s">
        <v>2388</v>
      </c>
      <c r="I768" s="1870" t="s">
        <v>2473</v>
      </c>
      <c r="J768" s="1871">
        <v>47360000</v>
      </c>
    </row>
    <row r="769" spans="1:10">
      <c r="A769" s="1872" t="s">
        <v>2475</v>
      </c>
      <c r="B769" s="1865">
        <v>13</v>
      </c>
      <c r="C769" s="1868" t="s">
        <v>2476</v>
      </c>
      <c r="D769" s="1867" t="s">
        <v>2477</v>
      </c>
      <c r="E769" s="1868" t="s">
        <v>2637</v>
      </c>
      <c r="F769" s="1869">
        <v>10430</v>
      </c>
      <c r="G769" s="1869">
        <v>6060000</v>
      </c>
      <c r="H769" s="1866" t="s">
        <v>2388</v>
      </c>
      <c r="I769" s="1870" t="s">
        <v>2473</v>
      </c>
      <c r="J769" s="1871">
        <v>34970000</v>
      </c>
    </row>
    <row r="770" spans="1:10">
      <c r="A770" s="1872" t="s">
        <v>2478</v>
      </c>
      <c r="B770" s="1865">
        <v>13</v>
      </c>
      <c r="C770" s="1868" t="s">
        <v>2479</v>
      </c>
      <c r="D770" s="1867" t="s">
        <v>2480</v>
      </c>
      <c r="E770" s="1868" t="s">
        <v>2637</v>
      </c>
      <c r="F770" s="1869">
        <v>10430</v>
      </c>
      <c r="G770" s="1869">
        <v>6060000</v>
      </c>
      <c r="H770" s="1866" t="s">
        <v>2388</v>
      </c>
      <c r="I770" s="1870" t="s">
        <v>2325</v>
      </c>
      <c r="J770" s="1871">
        <v>125680000</v>
      </c>
    </row>
    <row r="771" spans="1:10">
      <c r="A771" s="1872" t="s">
        <v>2481</v>
      </c>
      <c r="B771" s="1865">
        <v>13</v>
      </c>
      <c r="C771" s="1868" t="s">
        <v>2482</v>
      </c>
      <c r="D771" s="1867" t="s">
        <v>2483</v>
      </c>
      <c r="E771" s="1868" t="s">
        <v>2637</v>
      </c>
      <c r="F771" s="1869">
        <v>10430</v>
      </c>
      <c r="G771" s="1869">
        <v>6060000</v>
      </c>
      <c r="H771" s="1866" t="s">
        <v>2388</v>
      </c>
      <c r="I771" s="1870" t="s">
        <v>2325</v>
      </c>
      <c r="J771" s="1871">
        <v>27650000</v>
      </c>
    </row>
    <row r="772" spans="1:10">
      <c r="A772" s="1872" t="s">
        <v>2484</v>
      </c>
      <c r="B772" s="1865">
        <v>13</v>
      </c>
      <c r="C772" s="1868" t="s">
        <v>2485</v>
      </c>
      <c r="D772" s="1867" t="s">
        <v>2486</v>
      </c>
      <c r="E772" s="1868" t="s">
        <v>2637</v>
      </c>
      <c r="F772" s="1869">
        <v>10430</v>
      </c>
      <c r="G772" s="1869">
        <v>6060000</v>
      </c>
      <c r="H772" s="1866" t="s">
        <v>2388</v>
      </c>
      <c r="I772" s="1870" t="s">
        <v>2325</v>
      </c>
      <c r="J772" s="1871">
        <v>22110000</v>
      </c>
    </row>
    <row r="773" spans="1:10">
      <c r="A773" s="1872" t="s">
        <v>2487</v>
      </c>
      <c r="B773" s="1865">
        <v>13</v>
      </c>
      <c r="C773" s="1868" t="s">
        <v>2488</v>
      </c>
      <c r="D773" s="1867" t="s">
        <v>2490</v>
      </c>
      <c r="E773" s="1868" t="s">
        <v>2637</v>
      </c>
      <c r="F773" s="1869">
        <v>10430</v>
      </c>
      <c r="G773" s="1869">
        <v>6060000</v>
      </c>
      <c r="H773" s="1866" t="s">
        <v>2388</v>
      </c>
      <c r="I773" s="1870" t="s">
        <v>2489</v>
      </c>
      <c r="J773" s="1871">
        <v>86700000</v>
      </c>
    </row>
    <row r="774" spans="1:10">
      <c r="A774" s="1872" t="s">
        <v>2491</v>
      </c>
      <c r="B774" s="1865">
        <v>13</v>
      </c>
      <c r="C774" s="1868" t="s">
        <v>2492</v>
      </c>
      <c r="D774" s="1867" t="s">
        <v>2493</v>
      </c>
      <c r="E774" s="1868" t="s">
        <v>2637</v>
      </c>
      <c r="F774" s="1869">
        <v>10430</v>
      </c>
      <c r="G774" s="1869">
        <v>6060000</v>
      </c>
      <c r="H774" s="1866" t="s">
        <v>2388</v>
      </c>
      <c r="I774" s="1870" t="s">
        <v>2489</v>
      </c>
      <c r="J774" s="1871">
        <v>29510000</v>
      </c>
    </row>
    <row r="775" spans="1:10">
      <c r="A775" s="1872" t="s">
        <v>2494</v>
      </c>
      <c r="B775" s="1865">
        <v>13</v>
      </c>
      <c r="C775" s="1868" t="s">
        <v>2495</v>
      </c>
      <c r="D775" s="1867" t="s">
        <v>2497</v>
      </c>
      <c r="E775" s="1868" t="s">
        <v>2637</v>
      </c>
      <c r="F775" s="1869">
        <v>10430</v>
      </c>
      <c r="G775" s="1869">
        <v>6060000</v>
      </c>
      <c r="H775" s="1866" t="s">
        <v>2388</v>
      </c>
      <c r="I775" s="1870" t="s">
        <v>2496</v>
      </c>
      <c r="J775" s="1871">
        <v>27020000</v>
      </c>
    </row>
    <row r="776" spans="1:10">
      <c r="A776" s="1872" t="s">
        <v>148</v>
      </c>
      <c r="B776" s="1865">
        <v>13</v>
      </c>
      <c r="C776" s="1868" t="s">
        <v>2498</v>
      </c>
      <c r="D776" s="1867" t="s">
        <v>2500</v>
      </c>
      <c r="E776" s="1868" t="s">
        <v>2637</v>
      </c>
      <c r="F776" s="1869">
        <v>10430</v>
      </c>
      <c r="G776" s="1869">
        <v>6060000</v>
      </c>
      <c r="H776" s="1866" t="s">
        <v>2388</v>
      </c>
      <c r="I776" s="1870" t="s">
        <v>2499</v>
      </c>
      <c r="J776" s="1871">
        <v>24660000</v>
      </c>
    </row>
    <row r="777" spans="1:10">
      <c r="A777" s="1872" t="s">
        <v>2501</v>
      </c>
      <c r="B777" s="1865">
        <v>13</v>
      </c>
      <c r="C777" s="1868" t="s">
        <v>2502</v>
      </c>
      <c r="D777" s="1867" t="s">
        <v>2503</v>
      </c>
      <c r="E777" s="1868" t="s">
        <v>2637</v>
      </c>
      <c r="F777" s="1869">
        <v>10430</v>
      </c>
      <c r="G777" s="1869">
        <v>6060000</v>
      </c>
      <c r="H777" s="1866" t="s">
        <v>2388</v>
      </c>
      <c r="I777" s="1870" t="s">
        <v>2499</v>
      </c>
      <c r="J777" s="1871">
        <v>4210000</v>
      </c>
    </row>
    <row r="778" spans="1:10">
      <c r="A778" s="1872" t="s">
        <v>2504</v>
      </c>
      <c r="B778" s="1865">
        <v>13</v>
      </c>
      <c r="C778" s="1868" t="s">
        <v>2505</v>
      </c>
      <c r="D778" s="1867" t="s">
        <v>2507</v>
      </c>
      <c r="E778" s="1868" t="s">
        <v>2637</v>
      </c>
      <c r="F778" s="1869">
        <v>10430</v>
      </c>
      <c r="G778" s="1869">
        <v>6060000</v>
      </c>
      <c r="H778" s="1866" t="s">
        <v>2388</v>
      </c>
      <c r="I778" s="1870" t="s">
        <v>2506</v>
      </c>
      <c r="J778" s="1871">
        <v>14180000</v>
      </c>
    </row>
    <row r="779" spans="1:10">
      <c r="A779" s="1872" t="s">
        <v>2508</v>
      </c>
      <c r="B779" s="1865">
        <v>13</v>
      </c>
      <c r="C779" s="1868" t="s">
        <v>2509</v>
      </c>
      <c r="D779" s="1867" t="s">
        <v>2510</v>
      </c>
      <c r="E779" s="1868" t="s">
        <v>2637</v>
      </c>
      <c r="F779" s="1869">
        <v>10430</v>
      </c>
      <c r="G779" s="1869">
        <v>6060000</v>
      </c>
      <c r="H779" s="1866" t="s">
        <v>2388</v>
      </c>
      <c r="I779" s="1870" t="s">
        <v>2506</v>
      </c>
      <c r="J779" s="1871">
        <v>17020000</v>
      </c>
    </row>
    <row r="780" spans="1:10">
      <c r="A780" s="1872" t="s">
        <v>2511</v>
      </c>
      <c r="B780" s="1865">
        <v>13</v>
      </c>
      <c r="C780" s="1868" t="s">
        <v>2512</v>
      </c>
      <c r="D780" s="1867" t="s">
        <v>2514</v>
      </c>
      <c r="E780" s="1868" t="s">
        <v>2637</v>
      </c>
      <c r="F780" s="1869">
        <v>10430</v>
      </c>
      <c r="G780" s="1869">
        <v>6060000</v>
      </c>
      <c r="H780" s="1866" t="s">
        <v>2388</v>
      </c>
      <c r="I780" s="1870" t="s">
        <v>2513</v>
      </c>
      <c r="J780" s="1871">
        <v>13330000</v>
      </c>
    </row>
    <row r="781" spans="1:10">
      <c r="A781" s="1872" t="s">
        <v>2515</v>
      </c>
      <c r="B781" s="1865">
        <v>13</v>
      </c>
      <c r="C781" s="1868" t="s">
        <v>2516</v>
      </c>
      <c r="D781" s="1867" t="s">
        <v>2517</v>
      </c>
      <c r="E781" s="1868" t="s">
        <v>2637</v>
      </c>
      <c r="F781" s="1869">
        <v>10430</v>
      </c>
      <c r="G781" s="1869">
        <v>6060000</v>
      </c>
      <c r="H781" s="1866" t="s">
        <v>2388</v>
      </c>
      <c r="I781" s="1870" t="s">
        <v>2513</v>
      </c>
      <c r="J781" s="1871">
        <v>9520000</v>
      </c>
    </row>
    <row r="782" spans="1:10">
      <c r="A782" s="1864" t="s">
        <v>2518</v>
      </c>
      <c r="B782" s="1865">
        <v>13</v>
      </c>
      <c r="C782" s="1866" t="s">
        <v>2519</v>
      </c>
      <c r="D782" s="1875" t="s">
        <v>2520</v>
      </c>
      <c r="E782" s="1868" t="s">
        <v>2637</v>
      </c>
      <c r="F782" s="1869">
        <v>10430</v>
      </c>
      <c r="G782" s="1869">
        <v>6060000</v>
      </c>
      <c r="H782" s="1866" t="s">
        <v>2388</v>
      </c>
      <c r="I782" s="1876" t="s">
        <v>2499</v>
      </c>
      <c r="J782" s="1871">
        <v>6170000</v>
      </c>
    </row>
    <row r="783" spans="1:10">
      <c r="A783" s="1872" t="s">
        <v>2521</v>
      </c>
      <c r="B783" s="1865">
        <v>13</v>
      </c>
      <c r="C783" s="1868" t="s">
        <v>2522</v>
      </c>
      <c r="D783" s="1867" t="s">
        <v>2524</v>
      </c>
      <c r="E783" s="1868" t="s">
        <v>2637</v>
      </c>
      <c r="F783" s="1869">
        <v>10430</v>
      </c>
      <c r="G783" s="1869">
        <v>6060000</v>
      </c>
      <c r="H783" s="1866" t="s">
        <v>2388</v>
      </c>
      <c r="I783" s="1870" t="s">
        <v>2523</v>
      </c>
      <c r="J783" s="1871">
        <v>86930000</v>
      </c>
    </row>
    <row r="784" spans="1:10">
      <c r="A784" s="1872" t="s">
        <v>2525</v>
      </c>
      <c r="B784" s="1865">
        <v>13</v>
      </c>
      <c r="C784" s="1868" t="s">
        <v>2526</v>
      </c>
      <c r="D784" s="1867" t="s">
        <v>2527</v>
      </c>
      <c r="E784" s="1868" t="s">
        <v>2637</v>
      </c>
      <c r="F784" s="1869">
        <v>10430</v>
      </c>
      <c r="G784" s="1869">
        <v>6060000</v>
      </c>
      <c r="H784" s="1866" t="s">
        <v>2388</v>
      </c>
      <c r="I784" s="1870" t="s">
        <v>2523</v>
      </c>
      <c r="J784" s="1871">
        <v>39970000</v>
      </c>
    </row>
    <row r="785" spans="1:10">
      <c r="A785" s="1864" t="s">
        <v>2528</v>
      </c>
      <c r="B785" s="1865">
        <v>13</v>
      </c>
      <c r="C785" s="1866" t="s">
        <v>2529</v>
      </c>
      <c r="D785" s="1875" t="s">
        <v>2530</v>
      </c>
      <c r="E785" s="1868" t="s">
        <v>2637</v>
      </c>
      <c r="F785" s="1869">
        <v>10430</v>
      </c>
      <c r="G785" s="1869">
        <v>6060000</v>
      </c>
      <c r="H785" s="1866" t="s">
        <v>2388</v>
      </c>
      <c r="I785" s="1876" t="s">
        <v>2523</v>
      </c>
      <c r="J785" s="1871">
        <v>1460000</v>
      </c>
    </row>
    <row r="786" spans="1:10">
      <c r="A786" s="1872" t="s">
        <v>2531</v>
      </c>
      <c r="B786" s="1865">
        <v>13</v>
      </c>
      <c r="C786" s="1868" t="s">
        <v>2532</v>
      </c>
      <c r="D786" s="1867" t="s">
        <v>2534</v>
      </c>
      <c r="E786" s="1868" t="s">
        <v>2637</v>
      </c>
      <c r="F786" s="1869">
        <v>10430</v>
      </c>
      <c r="G786" s="1869">
        <v>6060000</v>
      </c>
      <c r="H786" s="1866" t="s">
        <v>2388</v>
      </c>
      <c r="I786" s="1870" t="s">
        <v>2533</v>
      </c>
      <c r="J786" s="1871">
        <v>15010000</v>
      </c>
    </row>
    <row r="787" spans="1:10">
      <c r="A787" s="1872" t="s">
        <v>2535</v>
      </c>
      <c r="B787" s="1865">
        <v>13</v>
      </c>
      <c r="C787" s="1868" t="s">
        <v>2536</v>
      </c>
      <c r="D787" s="1867" t="s">
        <v>2538</v>
      </c>
      <c r="E787" s="1868" t="s">
        <v>2637</v>
      </c>
      <c r="F787" s="1869">
        <v>10430</v>
      </c>
      <c r="G787" s="1869">
        <v>6060000</v>
      </c>
      <c r="H787" s="1866" t="s">
        <v>2388</v>
      </c>
      <c r="I787" s="1870" t="s">
        <v>2537</v>
      </c>
      <c r="J787" s="1871">
        <v>23370000</v>
      </c>
    </row>
    <row r="788" spans="1:10">
      <c r="A788" s="1872" t="s">
        <v>2539</v>
      </c>
      <c r="B788" s="1865">
        <v>13</v>
      </c>
      <c r="C788" s="1868" t="s">
        <v>2540</v>
      </c>
      <c r="D788" s="1867" t="s">
        <v>2542</v>
      </c>
      <c r="E788" s="1868" t="s">
        <v>2637</v>
      </c>
      <c r="F788" s="1869">
        <v>10430</v>
      </c>
      <c r="G788" s="1869">
        <v>6060000</v>
      </c>
      <c r="H788" s="1866" t="s">
        <v>2388</v>
      </c>
      <c r="I788" s="1870" t="s">
        <v>2541</v>
      </c>
      <c r="J788" s="1871">
        <v>85870000</v>
      </c>
    </row>
    <row r="789" spans="1:10">
      <c r="A789" s="1872" t="s">
        <v>2701</v>
      </c>
      <c r="B789" s="1865">
        <v>13</v>
      </c>
      <c r="C789" s="1868" t="s">
        <v>2543</v>
      </c>
      <c r="D789" s="1867" t="s">
        <v>2545</v>
      </c>
      <c r="E789" s="1868" t="s">
        <v>2637</v>
      </c>
      <c r="F789" s="1869">
        <v>10430</v>
      </c>
      <c r="G789" s="1869">
        <v>6060000</v>
      </c>
      <c r="H789" s="1866" t="s">
        <v>2388</v>
      </c>
      <c r="I789" s="1870" t="s">
        <v>2544</v>
      </c>
      <c r="J789" s="1871">
        <v>49790000</v>
      </c>
    </row>
    <row r="790" spans="1:10">
      <c r="A790" s="1872" t="s">
        <v>2546</v>
      </c>
      <c r="B790" s="1865">
        <v>13</v>
      </c>
      <c r="C790" s="1868" t="s">
        <v>2547</v>
      </c>
      <c r="D790" s="1867" t="s">
        <v>2549</v>
      </c>
      <c r="E790" s="1868" t="s">
        <v>2637</v>
      </c>
      <c r="F790" s="1869">
        <v>10430</v>
      </c>
      <c r="G790" s="1869">
        <v>6060000</v>
      </c>
      <c r="H790" s="1866" t="s">
        <v>2388</v>
      </c>
      <c r="I790" s="1870" t="s">
        <v>2548</v>
      </c>
      <c r="J790" s="1871">
        <v>16500000</v>
      </c>
    </row>
    <row r="791" spans="1:10">
      <c r="A791" s="1872" t="s">
        <v>2550</v>
      </c>
      <c r="B791" s="1865">
        <v>13</v>
      </c>
      <c r="C791" s="1868" t="s">
        <v>2551</v>
      </c>
      <c r="D791" s="1867" t="s">
        <v>2553</v>
      </c>
      <c r="E791" s="1868" t="s">
        <v>2637</v>
      </c>
      <c r="F791" s="1869">
        <v>10430</v>
      </c>
      <c r="G791" s="1869">
        <v>6060000</v>
      </c>
      <c r="H791" s="1866" t="s">
        <v>2388</v>
      </c>
      <c r="I791" s="1870" t="s">
        <v>2552</v>
      </c>
      <c r="J791" s="1871">
        <v>31600000</v>
      </c>
    </row>
    <row r="792" spans="1:10">
      <c r="A792" s="1872" t="s">
        <v>2554</v>
      </c>
      <c r="B792" s="1865">
        <v>13</v>
      </c>
      <c r="C792" s="1868" t="s">
        <v>2555</v>
      </c>
      <c r="D792" s="1867" t="s">
        <v>2557</v>
      </c>
      <c r="E792" s="1868" t="s">
        <v>2637</v>
      </c>
      <c r="F792" s="1869">
        <v>10430</v>
      </c>
      <c r="G792" s="1869">
        <v>6060000</v>
      </c>
      <c r="H792" s="1866" t="s">
        <v>2388</v>
      </c>
      <c r="I792" s="1870" t="s">
        <v>2556</v>
      </c>
      <c r="J792" s="1871">
        <v>79400000</v>
      </c>
    </row>
    <row r="793" spans="1:10">
      <c r="A793" s="1872" t="s">
        <v>2558</v>
      </c>
      <c r="B793" s="1865">
        <v>13</v>
      </c>
      <c r="C793" s="1868" t="s">
        <v>2559</v>
      </c>
      <c r="D793" s="1867" t="s">
        <v>2561</v>
      </c>
      <c r="E793" s="1868" t="s">
        <v>2637</v>
      </c>
      <c r="F793" s="1869">
        <v>10430</v>
      </c>
      <c r="G793" s="1869">
        <v>6060000</v>
      </c>
      <c r="H793" s="1866" t="s">
        <v>2388</v>
      </c>
      <c r="I793" s="1870" t="s">
        <v>2560</v>
      </c>
      <c r="J793" s="1871">
        <v>31550000</v>
      </c>
    </row>
    <row r="794" spans="1:10">
      <c r="A794" s="1872" t="s">
        <v>2562</v>
      </c>
      <c r="B794" s="1865">
        <v>13</v>
      </c>
      <c r="C794" s="1868" t="s">
        <v>2563</v>
      </c>
      <c r="D794" s="1867" t="s">
        <v>2565</v>
      </c>
      <c r="E794" s="1868" t="s">
        <v>2637</v>
      </c>
      <c r="F794" s="1869">
        <v>10430</v>
      </c>
      <c r="G794" s="1869">
        <v>6060000</v>
      </c>
      <c r="H794" s="1866" t="s">
        <v>2388</v>
      </c>
      <c r="I794" s="1870" t="s">
        <v>2564</v>
      </c>
      <c r="J794" s="1871">
        <v>61060000</v>
      </c>
    </row>
    <row r="795" spans="1:10">
      <c r="A795" s="1872" t="s">
        <v>2566</v>
      </c>
      <c r="B795" s="1865">
        <v>13</v>
      </c>
      <c r="C795" s="1868" t="s">
        <v>2567</v>
      </c>
      <c r="D795" s="1867" t="s">
        <v>2569</v>
      </c>
      <c r="E795" s="1868" t="s">
        <v>2637</v>
      </c>
      <c r="F795" s="1869">
        <v>10430</v>
      </c>
      <c r="G795" s="1869">
        <v>6060000</v>
      </c>
      <c r="H795" s="1866" t="s">
        <v>2388</v>
      </c>
      <c r="I795" s="1870" t="s">
        <v>2568</v>
      </c>
      <c r="J795" s="1871">
        <v>29840000</v>
      </c>
    </row>
    <row r="796" spans="1:10">
      <c r="A796" s="1872" t="s">
        <v>2570</v>
      </c>
      <c r="B796" s="1865">
        <v>13</v>
      </c>
      <c r="C796" s="1868" t="s">
        <v>2571</v>
      </c>
      <c r="D796" s="1867" t="s">
        <v>2573</v>
      </c>
      <c r="E796" s="1868" t="s">
        <v>2637</v>
      </c>
      <c r="F796" s="1869">
        <v>10430</v>
      </c>
      <c r="G796" s="1869">
        <v>6060000</v>
      </c>
      <c r="H796" s="1866" t="s">
        <v>2388</v>
      </c>
      <c r="I796" s="1870" t="s">
        <v>2572</v>
      </c>
      <c r="J796" s="1871">
        <v>130500000</v>
      </c>
    </row>
    <row r="797" spans="1:10">
      <c r="A797" s="1872" t="s">
        <v>2574</v>
      </c>
      <c r="B797" s="1865">
        <v>13</v>
      </c>
      <c r="C797" s="1868" t="s">
        <v>2575</v>
      </c>
      <c r="D797" s="1867" t="s">
        <v>2576</v>
      </c>
      <c r="E797" s="1868" t="s">
        <v>2637</v>
      </c>
      <c r="F797" s="1869">
        <v>10430</v>
      </c>
      <c r="G797" s="1869">
        <v>6060000</v>
      </c>
      <c r="H797" s="1866" t="s">
        <v>2388</v>
      </c>
      <c r="I797" s="1870" t="s">
        <v>2572</v>
      </c>
      <c r="J797" s="1871">
        <v>30440000</v>
      </c>
    </row>
    <row r="798" spans="1:10">
      <c r="A798" s="1872" t="s">
        <v>2577</v>
      </c>
      <c r="B798" s="1865">
        <v>13</v>
      </c>
      <c r="C798" s="1868" t="s">
        <v>2578</v>
      </c>
      <c r="D798" s="1867" t="s">
        <v>2580</v>
      </c>
      <c r="E798" s="1868" t="s">
        <v>2637</v>
      </c>
      <c r="F798" s="1869">
        <v>10430</v>
      </c>
      <c r="G798" s="1869">
        <v>6060000</v>
      </c>
      <c r="H798" s="1866" t="s">
        <v>2388</v>
      </c>
      <c r="I798" s="1870" t="s">
        <v>2579</v>
      </c>
      <c r="J798" s="1871">
        <v>12660000</v>
      </c>
    </row>
    <row r="799" spans="1:10">
      <c r="A799" s="1872" t="s">
        <v>2581</v>
      </c>
      <c r="B799" s="1865">
        <v>13</v>
      </c>
      <c r="C799" s="1868" t="s">
        <v>2582</v>
      </c>
      <c r="D799" s="1867" t="s">
        <v>2583</v>
      </c>
      <c r="E799" s="1868" t="s">
        <v>2637</v>
      </c>
      <c r="F799" s="1869">
        <v>10430</v>
      </c>
      <c r="G799" s="1869">
        <v>6060000</v>
      </c>
      <c r="H799" s="1866" t="s">
        <v>2388</v>
      </c>
      <c r="I799" s="1870" t="s">
        <v>2579</v>
      </c>
      <c r="J799" s="1871">
        <v>10440000</v>
      </c>
    </row>
    <row r="800" spans="1:10">
      <c r="A800" s="1872" t="s">
        <v>2584</v>
      </c>
      <c r="B800" s="1865">
        <v>13</v>
      </c>
      <c r="C800" s="1868" t="s">
        <v>2585</v>
      </c>
      <c r="D800" s="1867" t="s">
        <v>2586</v>
      </c>
      <c r="E800" s="1868" t="s">
        <v>2637</v>
      </c>
      <c r="F800" s="1869">
        <v>10430</v>
      </c>
      <c r="G800" s="1869">
        <v>6060000</v>
      </c>
      <c r="H800" s="1866" t="s">
        <v>2388</v>
      </c>
      <c r="I800" s="1870" t="s">
        <v>2372</v>
      </c>
      <c r="J800" s="1871">
        <v>374590000</v>
      </c>
    </row>
    <row r="801" spans="1:10">
      <c r="A801" s="1872" t="s">
        <v>2587</v>
      </c>
      <c r="B801" s="1865">
        <v>13</v>
      </c>
      <c r="C801" s="1868" t="s">
        <v>2588</v>
      </c>
      <c r="D801" s="1867" t="s">
        <v>2589</v>
      </c>
      <c r="E801" s="1868" t="s">
        <v>2637</v>
      </c>
      <c r="F801" s="1869">
        <v>10430</v>
      </c>
      <c r="G801" s="1869">
        <v>6060000</v>
      </c>
      <c r="H801" s="1866" t="s">
        <v>2388</v>
      </c>
      <c r="I801" s="1870" t="s">
        <v>2372</v>
      </c>
      <c r="J801" s="1871">
        <v>70320000</v>
      </c>
    </row>
    <row r="802" spans="1:10">
      <c r="A802" s="1872" t="s">
        <v>2590</v>
      </c>
      <c r="B802" s="1865">
        <v>13</v>
      </c>
      <c r="C802" s="1868" t="s">
        <v>2591</v>
      </c>
      <c r="D802" s="1867" t="s">
        <v>2592</v>
      </c>
      <c r="E802" s="1868" t="s">
        <v>2637</v>
      </c>
      <c r="F802" s="1869">
        <v>10430</v>
      </c>
      <c r="G802" s="1869">
        <v>6060000</v>
      </c>
      <c r="H802" s="1866" t="s">
        <v>2388</v>
      </c>
      <c r="I802" s="1870" t="s">
        <v>2372</v>
      </c>
      <c r="J802" s="1871">
        <v>19030000</v>
      </c>
    </row>
    <row r="803" spans="1:10">
      <c r="A803" s="1872" t="s">
        <v>2593</v>
      </c>
      <c r="B803" s="1865">
        <v>13</v>
      </c>
      <c r="C803" s="1868" t="s">
        <v>2594</v>
      </c>
      <c r="D803" s="1867" t="s">
        <v>2596</v>
      </c>
      <c r="E803" s="1868" t="s">
        <v>2637</v>
      </c>
      <c r="F803" s="1869">
        <v>10430</v>
      </c>
      <c r="G803" s="1869">
        <v>6060000</v>
      </c>
      <c r="H803" s="1866" t="s">
        <v>2388</v>
      </c>
      <c r="I803" s="1870" t="s">
        <v>2595</v>
      </c>
      <c r="J803" s="1871">
        <v>39420000</v>
      </c>
    </row>
    <row r="804" spans="1:10">
      <c r="A804" s="1872" t="s">
        <v>2597</v>
      </c>
      <c r="B804" s="1865">
        <v>13</v>
      </c>
      <c r="C804" s="1868" t="s">
        <v>2598</v>
      </c>
      <c r="D804" s="1867" t="s">
        <v>2599</v>
      </c>
      <c r="E804" s="1868" t="s">
        <v>2637</v>
      </c>
      <c r="F804" s="1869">
        <v>10430</v>
      </c>
      <c r="G804" s="1869">
        <v>6060000</v>
      </c>
      <c r="H804" s="1866" t="s">
        <v>2388</v>
      </c>
      <c r="I804" s="1870" t="s">
        <v>2595</v>
      </c>
      <c r="J804" s="1871">
        <v>17700000</v>
      </c>
    </row>
    <row r="805" spans="1:10">
      <c r="A805" s="1872" t="s">
        <v>2600</v>
      </c>
      <c r="B805" s="1865">
        <v>13</v>
      </c>
      <c r="C805" s="1868" t="s">
        <v>2601</v>
      </c>
      <c r="D805" s="1867" t="s">
        <v>2602</v>
      </c>
      <c r="E805" s="1868" t="s">
        <v>2637</v>
      </c>
      <c r="F805" s="1869">
        <v>10430</v>
      </c>
      <c r="G805" s="1869">
        <v>6060000</v>
      </c>
      <c r="H805" s="1866" t="s">
        <v>2388</v>
      </c>
      <c r="I805" s="1870" t="s">
        <v>2336</v>
      </c>
      <c r="J805" s="1871">
        <v>99990000</v>
      </c>
    </row>
    <row r="806" spans="1:10">
      <c r="A806" s="1872" t="s">
        <v>2603</v>
      </c>
      <c r="B806" s="1865">
        <v>13</v>
      </c>
      <c r="C806" s="1868" t="s">
        <v>2604</v>
      </c>
      <c r="D806" s="1867" t="s">
        <v>2605</v>
      </c>
      <c r="E806" s="1868" t="s">
        <v>2637</v>
      </c>
      <c r="F806" s="1869">
        <v>10430</v>
      </c>
      <c r="G806" s="1869">
        <v>6060000</v>
      </c>
      <c r="H806" s="1866" t="s">
        <v>2388</v>
      </c>
      <c r="I806" s="1870" t="s">
        <v>2336</v>
      </c>
      <c r="J806" s="1871">
        <v>19730000</v>
      </c>
    </row>
    <row r="807" spans="1:10">
      <c r="A807" s="1872" t="s">
        <v>2606</v>
      </c>
      <c r="B807" s="1865">
        <v>13</v>
      </c>
      <c r="C807" s="1868" t="s">
        <v>2607</v>
      </c>
      <c r="D807" s="1867" t="s">
        <v>2608</v>
      </c>
      <c r="E807" s="1868" t="s">
        <v>2637</v>
      </c>
      <c r="F807" s="1869">
        <v>10430</v>
      </c>
      <c r="G807" s="1869">
        <v>6060000</v>
      </c>
      <c r="H807" s="1866" t="s">
        <v>2388</v>
      </c>
      <c r="I807" s="1870" t="s">
        <v>2336</v>
      </c>
      <c r="J807" s="1871">
        <v>9260000</v>
      </c>
    </row>
    <row r="808" spans="1:10">
      <c r="A808" s="1872" t="s">
        <v>2609</v>
      </c>
      <c r="B808" s="1865">
        <v>13</v>
      </c>
      <c r="C808" s="1868" t="s">
        <v>2610</v>
      </c>
      <c r="D808" s="1867" t="s">
        <v>2612</v>
      </c>
      <c r="E808" s="1868" t="s">
        <v>2637</v>
      </c>
      <c r="F808" s="1869">
        <v>10430</v>
      </c>
      <c r="G808" s="1869">
        <v>6060000</v>
      </c>
      <c r="H808" s="1866" t="s">
        <v>2388</v>
      </c>
      <c r="I808" s="1870" t="s">
        <v>2611</v>
      </c>
      <c r="J808" s="1871">
        <v>33550000</v>
      </c>
    </row>
    <row r="809" spans="1:10">
      <c r="A809" s="1872" t="s">
        <v>2613</v>
      </c>
      <c r="B809" s="1865">
        <v>13</v>
      </c>
      <c r="C809" s="1868" t="s">
        <v>2614</v>
      </c>
      <c r="D809" s="1867" t="s">
        <v>2615</v>
      </c>
      <c r="E809" s="1868" t="s">
        <v>2637</v>
      </c>
      <c r="F809" s="1869">
        <v>10430</v>
      </c>
      <c r="G809" s="1869">
        <v>6060000</v>
      </c>
      <c r="H809" s="1866" t="s">
        <v>2388</v>
      </c>
      <c r="I809" s="1870" t="s">
        <v>2611</v>
      </c>
      <c r="J809" s="1871">
        <v>7560000</v>
      </c>
    </row>
    <row r="810" spans="1:10">
      <c r="A810" s="1864" t="s">
        <v>2616</v>
      </c>
      <c r="B810" s="1865">
        <v>13</v>
      </c>
      <c r="C810" s="1866" t="s">
        <v>2617</v>
      </c>
      <c r="D810" s="1875" t="s">
        <v>2619</v>
      </c>
      <c r="E810" s="1868" t="s">
        <v>2637</v>
      </c>
      <c r="F810" s="1869">
        <v>10430</v>
      </c>
      <c r="G810" s="1869">
        <v>6060000</v>
      </c>
      <c r="H810" s="1866" t="s">
        <v>2388</v>
      </c>
      <c r="I810" s="1876" t="s">
        <v>2618</v>
      </c>
      <c r="J810" s="1871">
        <v>16460000</v>
      </c>
    </row>
    <row r="811" spans="1:10" ht="13.5" thickBot="1">
      <c r="A811" s="1878" t="s">
        <v>2620</v>
      </c>
      <c r="B811" s="1879"/>
      <c r="C811" s="1880" t="s">
        <v>2621</v>
      </c>
      <c r="D811" s="1881" t="s">
        <v>2622</v>
      </c>
      <c r="E811" s="1880" t="s">
        <v>2637</v>
      </c>
      <c r="F811" s="1882">
        <v>10430</v>
      </c>
      <c r="G811" s="1882">
        <v>6060000</v>
      </c>
      <c r="H811" s="1883" t="s">
        <v>2388</v>
      </c>
      <c r="I811" s="1884" t="s">
        <v>2618</v>
      </c>
      <c r="J811" s="1885">
        <v>11500000</v>
      </c>
    </row>
    <row r="812" spans="1:10" ht="13.5" thickBot="1">
      <c r="A812" s="1886"/>
      <c r="B812" s="1887"/>
      <c r="C812" s="1888"/>
      <c r="D812" s="1889"/>
      <c r="E812" s="1890"/>
      <c r="F812" s="1887" t="s">
        <v>2688</v>
      </c>
      <c r="G812" s="1887"/>
      <c r="H812" s="1888"/>
      <c r="I812" s="1890"/>
      <c r="J812" s="1891">
        <f>SUM(J813:J814)</f>
        <v>3552370000</v>
      </c>
    </row>
    <row r="813" spans="1:10">
      <c r="A813" s="1892" t="s">
        <v>2316</v>
      </c>
      <c r="B813" s="1893">
        <v>13</v>
      </c>
      <c r="C813" s="1893" t="s">
        <v>2384</v>
      </c>
      <c r="D813" s="1894" t="s">
        <v>2689</v>
      </c>
      <c r="E813" s="1893" t="s">
        <v>2637</v>
      </c>
      <c r="F813" s="1895">
        <v>10430</v>
      </c>
      <c r="G813" s="1896">
        <v>6060000</v>
      </c>
      <c r="H813" s="1897" t="s">
        <v>2387</v>
      </c>
      <c r="I813" s="1898">
        <v>3535</v>
      </c>
      <c r="J813" s="1899">
        <f>SUM(J690:J750)</f>
        <v>723010000</v>
      </c>
    </row>
    <row r="814" spans="1:10" ht="13.5" thickBot="1">
      <c r="A814" s="1900" t="s">
        <v>2316</v>
      </c>
      <c r="B814" s="1901">
        <v>13</v>
      </c>
      <c r="C814" s="1901" t="s">
        <v>2384</v>
      </c>
      <c r="D814" s="1902" t="s">
        <v>2689</v>
      </c>
      <c r="E814" s="1901" t="s">
        <v>2637</v>
      </c>
      <c r="F814" s="1903">
        <v>10430</v>
      </c>
      <c r="G814" s="1882">
        <v>6060000</v>
      </c>
      <c r="H814" s="1883" t="s">
        <v>2388</v>
      </c>
      <c r="I814" s="1904">
        <v>3535</v>
      </c>
      <c r="J814" s="1905">
        <f>SUM(J751:J811)</f>
        <v>2829360000</v>
      </c>
    </row>
    <row r="815" spans="1:10">
      <c r="A815" s="1842"/>
      <c r="B815" s="1842"/>
      <c r="C815" s="1842"/>
      <c r="D815" s="1842"/>
      <c r="E815" s="1842"/>
      <c r="F815" s="1842"/>
      <c r="G815" s="1842"/>
      <c r="H815" s="1842"/>
      <c r="I815" s="1842"/>
      <c r="J815" s="1842"/>
    </row>
    <row r="816" spans="1:10">
      <c r="A816" s="1842"/>
      <c r="B816" s="1842"/>
      <c r="C816" s="1842"/>
      <c r="D816" s="1842"/>
      <c r="E816" s="1842"/>
      <c r="F816" s="1842"/>
      <c r="G816" s="1842"/>
      <c r="H816" s="1842"/>
      <c r="I816" s="1842"/>
      <c r="J816" s="1842"/>
    </row>
    <row r="817" spans="1:10">
      <c r="A817" s="1842"/>
      <c r="B817" s="1842"/>
      <c r="C817" s="1842" t="s">
        <v>2702</v>
      </c>
      <c r="D817" s="1842"/>
      <c r="E817" s="1842"/>
      <c r="F817" s="1842"/>
      <c r="G817" s="1842"/>
      <c r="H817" s="1842"/>
      <c r="I817" s="1842"/>
      <c r="J817" s="1842"/>
    </row>
    <row r="818" spans="1:10" ht="13.5" thickBot="1">
      <c r="A818" s="1906"/>
      <c r="B818" s="1906"/>
      <c r="C818" s="1906"/>
      <c r="D818" s="1906"/>
      <c r="E818" s="1906"/>
      <c r="F818" s="1906"/>
      <c r="G818" s="1906"/>
      <c r="H818" s="1906"/>
      <c r="I818" s="1906"/>
      <c r="J818" s="1842"/>
    </row>
    <row r="819" spans="1:10" ht="39" thickBot="1">
      <c r="A819" s="1907" t="s">
        <v>2696</v>
      </c>
      <c r="B819" s="1907" t="s">
        <v>2303</v>
      </c>
      <c r="C819" s="1849" t="s">
        <v>2304</v>
      </c>
      <c r="D819" s="1844" t="s">
        <v>2305</v>
      </c>
      <c r="E819" s="1845" t="s">
        <v>2699</v>
      </c>
      <c r="F819" s="1908" t="s">
        <v>2306</v>
      </c>
      <c r="G819" s="1845" t="s">
        <v>2307</v>
      </c>
      <c r="H819" s="1849" t="s">
        <v>87</v>
      </c>
      <c r="I819" s="1845" t="s">
        <v>2703</v>
      </c>
      <c r="J819" s="1909" t="s">
        <v>2704</v>
      </c>
    </row>
    <row r="820" spans="1:10" ht="13.5" thickBot="1">
      <c r="A820" s="1886"/>
      <c r="B820" s="1910"/>
      <c r="C820" s="1910"/>
      <c r="D820" s="1910"/>
      <c r="E820" s="1910"/>
      <c r="F820" s="1887" t="s">
        <v>2636</v>
      </c>
      <c r="G820" s="1910"/>
      <c r="H820" s="1910"/>
      <c r="I820" s="1911"/>
      <c r="J820" s="1911">
        <f>SUM(J821:J881)</f>
        <v>3552370000</v>
      </c>
    </row>
    <row r="821" spans="1:10" ht="13.5" thickBot="1">
      <c r="A821" s="1856" t="s">
        <v>2705</v>
      </c>
      <c r="B821" s="1856" t="s">
        <v>2417</v>
      </c>
      <c r="C821" s="1857">
        <v>13</v>
      </c>
      <c r="D821" s="1858" t="s">
        <v>2418</v>
      </c>
      <c r="E821" s="1859" t="s">
        <v>2419</v>
      </c>
      <c r="F821" s="1858" t="s">
        <v>2637</v>
      </c>
      <c r="G821" s="1860">
        <v>10430</v>
      </c>
      <c r="H821" s="1860">
        <v>6029999</v>
      </c>
      <c r="I821" s="1862" t="s">
        <v>2361</v>
      </c>
      <c r="J821" s="1912">
        <f>J690+J751</f>
        <v>66490000</v>
      </c>
    </row>
    <row r="822" spans="1:10" ht="13.5" thickBot="1">
      <c r="A822" s="1856" t="s">
        <v>2705</v>
      </c>
      <c r="B822" s="1864" t="s">
        <v>2420</v>
      </c>
      <c r="C822" s="1865">
        <v>13</v>
      </c>
      <c r="D822" s="1866" t="s">
        <v>2421</v>
      </c>
      <c r="E822" s="1867" t="s">
        <v>2422</v>
      </c>
      <c r="F822" s="1868" t="s">
        <v>2637</v>
      </c>
      <c r="G822" s="1869">
        <v>10430</v>
      </c>
      <c r="H822" s="1896">
        <v>6029999</v>
      </c>
      <c r="I822" s="1870" t="s">
        <v>2361</v>
      </c>
      <c r="J822" s="1912">
        <f t="shared" ref="J822:J880" si="2">J691+J752</f>
        <v>25890000</v>
      </c>
    </row>
    <row r="823" spans="1:10" ht="13.5" thickBot="1">
      <c r="A823" s="1856" t="s">
        <v>2705</v>
      </c>
      <c r="B823" s="1872" t="s">
        <v>2423</v>
      </c>
      <c r="C823" s="1865">
        <v>13</v>
      </c>
      <c r="D823" s="1868" t="s">
        <v>2424</v>
      </c>
      <c r="E823" s="1867" t="s">
        <v>2426</v>
      </c>
      <c r="F823" s="1868" t="s">
        <v>2637</v>
      </c>
      <c r="G823" s="1869">
        <v>10430</v>
      </c>
      <c r="H823" s="1896">
        <v>6029999</v>
      </c>
      <c r="I823" s="1870" t="s">
        <v>2425</v>
      </c>
      <c r="J823" s="1912">
        <f t="shared" si="2"/>
        <v>35280000</v>
      </c>
    </row>
    <row r="824" spans="1:10" ht="13.5" thickBot="1">
      <c r="A824" s="1856" t="s">
        <v>2705</v>
      </c>
      <c r="B824" s="1872" t="s">
        <v>2427</v>
      </c>
      <c r="C824" s="1865">
        <v>13</v>
      </c>
      <c r="D824" s="1868" t="s">
        <v>2428</v>
      </c>
      <c r="E824" s="1867" t="s">
        <v>2429</v>
      </c>
      <c r="F824" s="1868" t="s">
        <v>2637</v>
      </c>
      <c r="G824" s="1869">
        <v>10430</v>
      </c>
      <c r="H824" s="1896">
        <v>6029999</v>
      </c>
      <c r="I824" s="1870" t="s">
        <v>2333</v>
      </c>
      <c r="J824" s="1912">
        <f t="shared" si="2"/>
        <v>20090000</v>
      </c>
    </row>
    <row r="825" spans="1:10" ht="13.5" thickBot="1">
      <c r="A825" s="1856" t="s">
        <v>2705</v>
      </c>
      <c r="B825" s="1872" t="s">
        <v>2331</v>
      </c>
      <c r="C825" s="1865">
        <v>13</v>
      </c>
      <c r="D825" s="1868" t="s">
        <v>2430</v>
      </c>
      <c r="E825" s="1867" t="s">
        <v>2431</v>
      </c>
      <c r="F825" s="1868" t="s">
        <v>2637</v>
      </c>
      <c r="G825" s="1869">
        <v>10430</v>
      </c>
      <c r="H825" s="1896">
        <v>6029999</v>
      </c>
      <c r="I825" s="1870" t="s">
        <v>2333</v>
      </c>
      <c r="J825" s="1912">
        <f t="shared" si="2"/>
        <v>16090000</v>
      </c>
    </row>
    <row r="826" spans="1:10" ht="13.5" thickBot="1">
      <c r="A826" s="1856" t="s">
        <v>2705</v>
      </c>
      <c r="B826" s="1872">
        <v>106</v>
      </c>
      <c r="C826" s="1865">
        <v>13</v>
      </c>
      <c r="D826" s="1868">
        <v>2106001</v>
      </c>
      <c r="E826" s="1867" t="s">
        <v>2432</v>
      </c>
      <c r="F826" s="1868" t="s">
        <v>2637</v>
      </c>
      <c r="G826" s="1869">
        <v>10430</v>
      </c>
      <c r="H826" s="1896">
        <v>6029999</v>
      </c>
      <c r="I826" s="1870" t="s">
        <v>2392</v>
      </c>
      <c r="J826" s="1912">
        <f t="shared" si="2"/>
        <v>135780000</v>
      </c>
    </row>
    <row r="827" spans="1:10" ht="13.5" thickBot="1">
      <c r="A827" s="1856" t="s">
        <v>2705</v>
      </c>
      <c r="B827" s="1872" t="s">
        <v>2433</v>
      </c>
      <c r="C827" s="1865">
        <v>13</v>
      </c>
      <c r="D827" s="1868" t="s">
        <v>2434</v>
      </c>
      <c r="E827" s="1867" t="s">
        <v>2436</v>
      </c>
      <c r="F827" s="1868" t="s">
        <v>2637</v>
      </c>
      <c r="G827" s="1869">
        <v>10430</v>
      </c>
      <c r="H827" s="1896">
        <v>6029999</v>
      </c>
      <c r="I827" s="1870" t="s">
        <v>2435</v>
      </c>
      <c r="J827" s="1912">
        <f t="shared" si="2"/>
        <v>48470000</v>
      </c>
    </row>
    <row r="828" spans="1:10" ht="13.5" thickBot="1">
      <c r="A828" s="1856" t="s">
        <v>2705</v>
      </c>
      <c r="B828" s="1872" t="s">
        <v>2437</v>
      </c>
      <c r="C828" s="1865">
        <v>13</v>
      </c>
      <c r="D828" s="1868" t="s">
        <v>2438</v>
      </c>
      <c r="E828" s="1867" t="s">
        <v>2440</v>
      </c>
      <c r="F828" s="1868" t="s">
        <v>2637</v>
      </c>
      <c r="G828" s="1869">
        <v>10430</v>
      </c>
      <c r="H828" s="1896">
        <v>6029999</v>
      </c>
      <c r="I828" s="1873" t="s">
        <v>2439</v>
      </c>
      <c r="J828" s="1912">
        <f t="shared" si="2"/>
        <v>50010000</v>
      </c>
    </row>
    <row r="829" spans="1:10" ht="13.5" thickBot="1">
      <c r="A829" s="1856" t="s">
        <v>2705</v>
      </c>
      <c r="B829" s="1872" t="s">
        <v>2441</v>
      </c>
      <c r="C829" s="1865">
        <v>13</v>
      </c>
      <c r="D829" s="1868" t="s">
        <v>2442</v>
      </c>
      <c r="E829" s="1867" t="s">
        <v>2443</v>
      </c>
      <c r="F829" s="1868" t="s">
        <v>2637</v>
      </c>
      <c r="G829" s="1869">
        <v>10430</v>
      </c>
      <c r="H829" s="1896">
        <v>6029999</v>
      </c>
      <c r="I829" s="1873" t="s">
        <v>2439</v>
      </c>
      <c r="J829" s="1912">
        <f t="shared" si="2"/>
        <v>37770000</v>
      </c>
    </row>
    <row r="830" spans="1:10" ht="13.5" thickBot="1">
      <c r="A830" s="1856" t="s">
        <v>2705</v>
      </c>
      <c r="B830" s="1872" t="s">
        <v>2444</v>
      </c>
      <c r="C830" s="1865">
        <v>13</v>
      </c>
      <c r="D830" s="1868" t="s">
        <v>2445</v>
      </c>
      <c r="E830" s="1867" t="s">
        <v>2446</v>
      </c>
      <c r="F830" s="1868" t="s">
        <v>2637</v>
      </c>
      <c r="G830" s="1869">
        <v>10430</v>
      </c>
      <c r="H830" s="1896">
        <v>6029999</v>
      </c>
      <c r="I830" s="1870" t="s">
        <v>2349</v>
      </c>
      <c r="J830" s="1912">
        <f t="shared" si="2"/>
        <v>166520000</v>
      </c>
    </row>
    <row r="831" spans="1:10" ht="13.5" thickBot="1">
      <c r="A831" s="1856" t="s">
        <v>2705</v>
      </c>
      <c r="B831" s="1872" t="s">
        <v>2447</v>
      </c>
      <c r="C831" s="1865">
        <v>13</v>
      </c>
      <c r="D831" s="1868" t="s">
        <v>2448</v>
      </c>
      <c r="E831" s="1867" t="s">
        <v>2449</v>
      </c>
      <c r="F831" s="1868" t="s">
        <v>2637</v>
      </c>
      <c r="G831" s="1869">
        <v>10430</v>
      </c>
      <c r="H831" s="1896">
        <v>6029999</v>
      </c>
      <c r="I831" s="1870" t="s">
        <v>2349</v>
      </c>
      <c r="J831" s="1912">
        <f t="shared" si="2"/>
        <v>29110000</v>
      </c>
    </row>
    <row r="832" spans="1:10" ht="13.5" thickBot="1">
      <c r="A832" s="1856" t="s">
        <v>2705</v>
      </c>
      <c r="B832" s="1872" t="s">
        <v>2450</v>
      </c>
      <c r="C832" s="1865">
        <v>13</v>
      </c>
      <c r="D832" s="1868" t="s">
        <v>2451</v>
      </c>
      <c r="E832" s="1867" t="s">
        <v>2453</v>
      </c>
      <c r="F832" s="1868" t="s">
        <v>2637</v>
      </c>
      <c r="G832" s="1869">
        <v>10430</v>
      </c>
      <c r="H832" s="1896">
        <v>6029999</v>
      </c>
      <c r="I832" s="1870" t="s">
        <v>2452</v>
      </c>
      <c r="J832" s="1912">
        <f t="shared" si="2"/>
        <v>60360000</v>
      </c>
    </row>
    <row r="833" spans="1:10" ht="13.5" thickBot="1">
      <c r="A833" s="1856" t="s">
        <v>2705</v>
      </c>
      <c r="B833" s="1872" t="s">
        <v>2454</v>
      </c>
      <c r="C833" s="1865">
        <v>13</v>
      </c>
      <c r="D833" s="1868" t="s">
        <v>2455</v>
      </c>
      <c r="E833" s="1867" t="s">
        <v>2456</v>
      </c>
      <c r="F833" s="1868" t="s">
        <v>2637</v>
      </c>
      <c r="G833" s="1869">
        <v>10430</v>
      </c>
      <c r="H833" s="1896">
        <v>6029999</v>
      </c>
      <c r="I833" s="1870" t="s">
        <v>2397</v>
      </c>
      <c r="J833" s="1912">
        <f t="shared" si="2"/>
        <v>273670000</v>
      </c>
    </row>
    <row r="834" spans="1:10" ht="13.5" thickBot="1">
      <c r="A834" s="1856" t="s">
        <v>2705</v>
      </c>
      <c r="B834" s="1872" t="s">
        <v>2457</v>
      </c>
      <c r="C834" s="1865">
        <v>13</v>
      </c>
      <c r="D834" s="1868" t="s">
        <v>2458</v>
      </c>
      <c r="E834" s="1867" t="s">
        <v>2459</v>
      </c>
      <c r="F834" s="1868" t="s">
        <v>2637</v>
      </c>
      <c r="G834" s="1869">
        <v>10430</v>
      </c>
      <c r="H834" s="1896">
        <v>6029999</v>
      </c>
      <c r="I834" s="1870" t="s">
        <v>2397</v>
      </c>
      <c r="J834" s="1912">
        <f t="shared" si="2"/>
        <v>45560000</v>
      </c>
    </row>
    <row r="835" spans="1:10" ht="13.5" thickBot="1">
      <c r="A835" s="1856" t="s">
        <v>2705</v>
      </c>
      <c r="B835" s="1872" t="s">
        <v>2460</v>
      </c>
      <c r="C835" s="1865">
        <v>13</v>
      </c>
      <c r="D835" s="1868" t="s">
        <v>2461</v>
      </c>
      <c r="E835" s="1867" t="s">
        <v>2462</v>
      </c>
      <c r="F835" s="1868" t="s">
        <v>2637</v>
      </c>
      <c r="G835" s="1869">
        <v>10430</v>
      </c>
      <c r="H835" s="1896">
        <v>6029999</v>
      </c>
      <c r="I835" s="1870" t="s">
        <v>2397</v>
      </c>
      <c r="J835" s="1912">
        <f t="shared" si="2"/>
        <v>35870000</v>
      </c>
    </row>
    <row r="836" spans="1:10" ht="13.5" thickBot="1">
      <c r="A836" s="1856" t="s">
        <v>2705</v>
      </c>
      <c r="B836" s="1872" t="s">
        <v>2463</v>
      </c>
      <c r="C836" s="1865">
        <v>13</v>
      </c>
      <c r="D836" s="1868" t="s">
        <v>2464</v>
      </c>
      <c r="E836" s="1867" t="s">
        <v>2466</v>
      </c>
      <c r="F836" s="1868" t="s">
        <v>2637</v>
      </c>
      <c r="G836" s="1869">
        <v>10430</v>
      </c>
      <c r="H836" s="1896">
        <v>6029999</v>
      </c>
      <c r="I836" s="1870" t="s">
        <v>2465</v>
      </c>
      <c r="J836" s="1912">
        <f t="shared" si="2"/>
        <v>52280000</v>
      </c>
    </row>
    <row r="837" spans="1:10" ht="13.5" thickBot="1">
      <c r="A837" s="1856" t="s">
        <v>2705</v>
      </c>
      <c r="B837" s="1872" t="s">
        <v>2467</v>
      </c>
      <c r="C837" s="1865">
        <v>13</v>
      </c>
      <c r="D837" s="1868" t="s">
        <v>2468</v>
      </c>
      <c r="E837" s="1867" t="s">
        <v>2470</v>
      </c>
      <c r="F837" s="1868" t="s">
        <v>2637</v>
      </c>
      <c r="G837" s="1869">
        <v>10430</v>
      </c>
      <c r="H837" s="1896">
        <v>6029999</v>
      </c>
      <c r="I837" s="1870" t="s">
        <v>2469</v>
      </c>
      <c r="J837" s="1912">
        <f t="shared" si="2"/>
        <v>68180000</v>
      </c>
    </row>
    <row r="838" spans="1:10" ht="13.5" thickBot="1">
      <c r="A838" s="1856" t="s">
        <v>2705</v>
      </c>
      <c r="B838" s="1872" t="s">
        <v>2471</v>
      </c>
      <c r="C838" s="1865">
        <v>13</v>
      </c>
      <c r="D838" s="1868" t="s">
        <v>2472</v>
      </c>
      <c r="E838" s="1867" t="s">
        <v>2474</v>
      </c>
      <c r="F838" s="1868" t="s">
        <v>2637</v>
      </c>
      <c r="G838" s="1869">
        <v>10430</v>
      </c>
      <c r="H838" s="1896">
        <v>6029999</v>
      </c>
      <c r="I838" s="1870" t="s">
        <v>2473</v>
      </c>
      <c r="J838" s="1912">
        <f t="shared" si="2"/>
        <v>83030000</v>
      </c>
    </row>
    <row r="839" spans="1:10" ht="13.5" thickBot="1">
      <c r="A839" s="1856" t="s">
        <v>2705</v>
      </c>
      <c r="B839" s="1872" t="s">
        <v>2475</v>
      </c>
      <c r="C839" s="1865">
        <v>13</v>
      </c>
      <c r="D839" s="1868" t="s">
        <v>2476</v>
      </c>
      <c r="E839" s="1867" t="s">
        <v>2477</v>
      </c>
      <c r="F839" s="1868" t="s">
        <v>2637</v>
      </c>
      <c r="G839" s="1869">
        <v>10430</v>
      </c>
      <c r="H839" s="1896">
        <v>6029999</v>
      </c>
      <c r="I839" s="1870" t="s">
        <v>2473</v>
      </c>
      <c r="J839" s="1912">
        <f t="shared" si="2"/>
        <v>66090000</v>
      </c>
    </row>
    <row r="840" spans="1:10" ht="13.5" thickBot="1">
      <c r="A840" s="1856" t="s">
        <v>2705</v>
      </c>
      <c r="B840" s="1872" t="s">
        <v>2478</v>
      </c>
      <c r="C840" s="1865">
        <v>13</v>
      </c>
      <c r="D840" s="1868" t="s">
        <v>2479</v>
      </c>
      <c r="E840" s="1867" t="s">
        <v>2480</v>
      </c>
      <c r="F840" s="1868" t="s">
        <v>2637</v>
      </c>
      <c r="G840" s="1869">
        <v>10430</v>
      </c>
      <c r="H840" s="1896">
        <v>6029999</v>
      </c>
      <c r="I840" s="1870" t="s">
        <v>2325</v>
      </c>
      <c r="J840" s="1912">
        <f t="shared" si="2"/>
        <v>131820000</v>
      </c>
    </row>
    <row r="841" spans="1:10" ht="13.5" thickBot="1">
      <c r="A841" s="1856" t="s">
        <v>2705</v>
      </c>
      <c r="B841" s="1872" t="s">
        <v>2481</v>
      </c>
      <c r="C841" s="1865">
        <v>13</v>
      </c>
      <c r="D841" s="1868" t="s">
        <v>2482</v>
      </c>
      <c r="E841" s="1867" t="s">
        <v>2483</v>
      </c>
      <c r="F841" s="1868" t="s">
        <v>2637</v>
      </c>
      <c r="G841" s="1869">
        <v>10430</v>
      </c>
      <c r="H841" s="1896">
        <v>6029999</v>
      </c>
      <c r="I841" s="1870" t="s">
        <v>2325</v>
      </c>
      <c r="J841" s="1912">
        <f t="shared" si="2"/>
        <v>29600000</v>
      </c>
    </row>
    <row r="842" spans="1:10" ht="13.5" thickBot="1">
      <c r="A842" s="1856" t="s">
        <v>2705</v>
      </c>
      <c r="B842" s="1872" t="s">
        <v>2484</v>
      </c>
      <c r="C842" s="1865">
        <v>13</v>
      </c>
      <c r="D842" s="1868" t="s">
        <v>2485</v>
      </c>
      <c r="E842" s="1867" t="s">
        <v>2486</v>
      </c>
      <c r="F842" s="1868" t="s">
        <v>2637</v>
      </c>
      <c r="G842" s="1869">
        <v>10430</v>
      </c>
      <c r="H842" s="1896">
        <v>6029999</v>
      </c>
      <c r="I842" s="1870" t="s">
        <v>2325</v>
      </c>
      <c r="J842" s="1912">
        <f t="shared" si="2"/>
        <v>24370000</v>
      </c>
    </row>
    <row r="843" spans="1:10" ht="13.5" thickBot="1">
      <c r="A843" s="1856" t="s">
        <v>2705</v>
      </c>
      <c r="B843" s="1872" t="s">
        <v>2487</v>
      </c>
      <c r="C843" s="1865">
        <v>13</v>
      </c>
      <c r="D843" s="1868" t="s">
        <v>2488</v>
      </c>
      <c r="E843" s="1867" t="s">
        <v>2490</v>
      </c>
      <c r="F843" s="1868" t="s">
        <v>2637</v>
      </c>
      <c r="G843" s="1869">
        <v>10430</v>
      </c>
      <c r="H843" s="1896">
        <v>6029999</v>
      </c>
      <c r="I843" s="1870" t="s">
        <v>2489</v>
      </c>
      <c r="J843" s="1912">
        <f t="shared" si="2"/>
        <v>90980000</v>
      </c>
    </row>
    <row r="844" spans="1:10" ht="13.5" thickBot="1">
      <c r="A844" s="1856" t="s">
        <v>2705</v>
      </c>
      <c r="B844" s="1872" t="s">
        <v>2491</v>
      </c>
      <c r="C844" s="1865">
        <v>13</v>
      </c>
      <c r="D844" s="1868" t="s">
        <v>2492</v>
      </c>
      <c r="E844" s="1867" t="s">
        <v>2493</v>
      </c>
      <c r="F844" s="1868" t="s">
        <v>2637</v>
      </c>
      <c r="G844" s="1869">
        <v>10430</v>
      </c>
      <c r="H844" s="1896">
        <v>6029999</v>
      </c>
      <c r="I844" s="1870" t="s">
        <v>2489</v>
      </c>
      <c r="J844" s="1912">
        <f t="shared" si="2"/>
        <v>32240000</v>
      </c>
    </row>
    <row r="845" spans="1:10" ht="13.5" thickBot="1">
      <c r="A845" s="1856" t="s">
        <v>2705</v>
      </c>
      <c r="B845" s="1872" t="s">
        <v>2494</v>
      </c>
      <c r="C845" s="1865">
        <v>13</v>
      </c>
      <c r="D845" s="1868" t="s">
        <v>2495</v>
      </c>
      <c r="E845" s="1867" t="s">
        <v>2497</v>
      </c>
      <c r="F845" s="1868" t="s">
        <v>2637</v>
      </c>
      <c r="G845" s="1869">
        <v>10430</v>
      </c>
      <c r="H845" s="1896">
        <v>6029999</v>
      </c>
      <c r="I845" s="1870" t="s">
        <v>2496</v>
      </c>
      <c r="J845" s="1912">
        <f t="shared" si="2"/>
        <v>35120000</v>
      </c>
    </row>
    <row r="846" spans="1:10" ht="13.5" thickBot="1">
      <c r="A846" s="1856" t="s">
        <v>2705</v>
      </c>
      <c r="B846" s="1872" t="s">
        <v>148</v>
      </c>
      <c r="C846" s="1865">
        <v>13</v>
      </c>
      <c r="D846" s="1868" t="s">
        <v>2498</v>
      </c>
      <c r="E846" s="1867" t="s">
        <v>2500</v>
      </c>
      <c r="F846" s="1868" t="s">
        <v>2637</v>
      </c>
      <c r="G846" s="1869">
        <v>10430</v>
      </c>
      <c r="H846" s="1896">
        <v>6029999</v>
      </c>
      <c r="I846" s="1870" t="s">
        <v>2499</v>
      </c>
      <c r="J846" s="1912">
        <f t="shared" si="2"/>
        <v>25430000</v>
      </c>
    </row>
    <row r="847" spans="1:10" ht="13.5" thickBot="1">
      <c r="A847" s="1856" t="s">
        <v>2705</v>
      </c>
      <c r="B847" s="1872" t="s">
        <v>2501</v>
      </c>
      <c r="C847" s="1865">
        <v>13</v>
      </c>
      <c r="D847" s="1868" t="s">
        <v>2502</v>
      </c>
      <c r="E847" s="1867" t="s">
        <v>2503</v>
      </c>
      <c r="F847" s="1868" t="s">
        <v>2637</v>
      </c>
      <c r="G847" s="1869">
        <v>10430</v>
      </c>
      <c r="H847" s="1896">
        <v>6029999</v>
      </c>
      <c r="I847" s="1870" t="s">
        <v>2499</v>
      </c>
      <c r="J847" s="1912">
        <f t="shared" si="2"/>
        <v>4370000</v>
      </c>
    </row>
    <row r="848" spans="1:10" ht="13.5" thickBot="1">
      <c r="A848" s="1856" t="s">
        <v>2705</v>
      </c>
      <c r="B848" s="1872" t="s">
        <v>2504</v>
      </c>
      <c r="C848" s="1865">
        <v>13</v>
      </c>
      <c r="D848" s="1868" t="s">
        <v>2505</v>
      </c>
      <c r="E848" s="1867" t="s">
        <v>2507</v>
      </c>
      <c r="F848" s="1868" t="s">
        <v>2637</v>
      </c>
      <c r="G848" s="1869">
        <v>10430</v>
      </c>
      <c r="H848" s="1896">
        <v>6029999</v>
      </c>
      <c r="I848" s="1870" t="s">
        <v>2506</v>
      </c>
      <c r="J848" s="1912">
        <f t="shared" si="2"/>
        <v>16720000</v>
      </c>
    </row>
    <row r="849" spans="1:10" ht="13.5" thickBot="1">
      <c r="A849" s="1856" t="s">
        <v>2705</v>
      </c>
      <c r="B849" s="1872" t="s">
        <v>2508</v>
      </c>
      <c r="C849" s="1865">
        <v>13</v>
      </c>
      <c r="D849" s="1868" t="s">
        <v>2509</v>
      </c>
      <c r="E849" s="1867" t="s">
        <v>2510</v>
      </c>
      <c r="F849" s="1868" t="s">
        <v>2637</v>
      </c>
      <c r="G849" s="1869">
        <v>10430</v>
      </c>
      <c r="H849" s="1896">
        <v>6029999</v>
      </c>
      <c r="I849" s="1870" t="s">
        <v>2506</v>
      </c>
      <c r="J849" s="1912">
        <f t="shared" si="2"/>
        <v>20970000</v>
      </c>
    </row>
    <row r="850" spans="1:10" ht="13.5" thickBot="1">
      <c r="A850" s="1856" t="s">
        <v>2705</v>
      </c>
      <c r="B850" s="1872" t="s">
        <v>2511</v>
      </c>
      <c r="C850" s="1865">
        <v>13</v>
      </c>
      <c r="D850" s="1868" t="s">
        <v>2512</v>
      </c>
      <c r="E850" s="1867" t="s">
        <v>2514</v>
      </c>
      <c r="F850" s="1868" t="s">
        <v>2637</v>
      </c>
      <c r="G850" s="1869">
        <v>10430</v>
      </c>
      <c r="H850" s="1896">
        <v>6029999</v>
      </c>
      <c r="I850" s="1870" t="s">
        <v>2513</v>
      </c>
      <c r="J850" s="1912">
        <f t="shared" si="2"/>
        <v>14400000</v>
      </c>
    </row>
    <row r="851" spans="1:10" ht="13.5" thickBot="1">
      <c r="A851" s="1856" t="s">
        <v>2705</v>
      </c>
      <c r="B851" s="1872" t="s">
        <v>2515</v>
      </c>
      <c r="C851" s="1865">
        <v>13</v>
      </c>
      <c r="D851" s="1868" t="s">
        <v>2516</v>
      </c>
      <c r="E851" s="1867" t="s">
        <v>2517</v>
      </c>
      <c r="F851" s="1868" t="s">
        <v>2637</v>
      </c>
      <c r="G851" s="1869">
        <v>10430</v>
      </c>
      <c r="H851" s="1896">
        <v>6029999</v>
      </c>
      <c r="I851" s="1870" t="s">
        <v>2513</v>
      </c>
      <c r="J851" s="1912">
        <f t="shared" si="2"/>
        <v>11450000</v>
      </c>
    </row>
    <row r="852" spans="1:10" ht="13.5" thickBot="1">
      <c r="A852" s="1856" t="s">
        <v>2705</v>
      </c>
      <c r="B852" s="1864" t="s">
        <v>2518</v>
      </c>
      <c r="C852" s="1865">
        <v>13</v>
      </c>
      <c r="D852" s="1866" t="s">
        <v>2519</v>
      </c>
      <c r="E852" s="1875" t="s">
        <v>2520</v>
      </c>
      <c r="F852" s="1868" t="s">
        <v>2637</v>
      </c>
      <c r="G852" s="1869">
        <v>10430</v>
      </c>
      <c r="H852" s="1896">
        <v>6029999</v>
      </c>
      <c r="I852" s="1876" t="s">
        <v>2499</v>
      </c>
      <c r="J852" s="1912">
        <f t="shared" si="2"/>
        <v>6360000</v>
      </c>
    </row>
    <row r="853" spans="1:10" ht="13.5" thickBot="1">
      <c r="A853" s="1856" t="s">
        <v>2705</v>
      </c>
      <c r="B853" s="1872" t="s">
        <v>2521</v>
      </c>
      <c r="C853" s="1865">
        <v>13</v>
      </c>
      <c r="D853" s="1868" t="s">
        <v>2522</v>
      </c>
      <c r="E853" s="1867" t="s">
        <v>2524</v>
      </c>
      <c r="F853" s="1868" t="s">
        <v>2637</v>
      </c>
      <c r="G853" s="1869">
        <v>10430</v>
      </c>
      <c r="H853" s="1896">
        <v>6029999</v>
      </c>
      <c r="I853" s="1870" t="s">
        <v>2523</v>
      </c>
      <c r="J853" s="1912">
        <f t="shared" si="2"/>
        <v>92530000</v>
      </c>
    </row>
    <row r="854" spans="1:10" ht="13.5" thickBot="1">
      <c r="A854" s="1856" t="s">
        <v>2705</v>
      </c>
      <c r="B854" s="1872" t="s">
        <v>2525</v>
      </c>
      <c r="C854" s="1865">
        <v>13</v>
      </c>
      <c r="D854" s="1868" t="s">
        <v>2526</v>
      </c>
      <c r="E854" s="1867" t="s">
        <v>2527</v>
      </c>
      <c r="F854" s="1868" t="s">
        <v>2637</v>
      </c>
      <c r="G854" s="1869">
        <v>10430</v>
      </c>
      <c r="H854" s="1896">
        <v>6029999</v>
      </c>
      <c r="I854" s="1870" t="s">
        <v>2523</v>
      </c>
      <c r="J854" s="1912">
        <f t="shared" si="2"/>
        <v>62330000</v>
      </c>
    </row>
    <row r="855" spans="1:10" ht="13.5" thickBot="1">
      <c r="A855" s="1856" t="s">
        <v>2705</v>
      </c>
      <c r="B855" s="1864" t="s">
        <v>2528</v>
      </c>
      <c r="C855" s="1865">
        <v>13</v>
      </c>
      <c r="D855" s="1866" t="s">
        <v>2529</v>
      </c>
      <c r="E855" s="1875" t="s">
        <v>2530</v>
      </c>
      <c r="F855" s="1868" t="s">
        <v>2637</v>
      </c>
      <c r="G855" s="1869">
        <v>10430</v>
      </c>
      <c r="H855" s="1896">
        <v>6029999</v>
      </c>
      <c r="I855" s="1876" t="s">
        <v>2523</v>
      </c>
      <c r="J855" s="1912">
        <f t="shared" si="2"/>
        <v>1640000</v>
      </c>
    </row>
    <row r="856" spans="1:10" ht="13.5" thickBot="1">
      <c r="A856" s="1856" t="s">
        <v>2705</v>
      </c>
      <c r="B856" s="1872" t="s">
        <v>2531</v>
      </c>
      <c r="C856" s="1865">
        <v>13</v>
      </c>
      <c r="D856" s="1868" t="s">
        <v>2532</v>
      </c>
      <c r="E856" s="1867" t="s">
        <v>2534</v>
      </c>
      <c r="F856" s="1868" t="s">
        <v>2637</v>
      </c>
      <c r="G856" s="1869">
        <v>10430</v>
      </c>
      <c r="H856" s="1896">
        <v>6029999</v>
      </c>
      <c r="I856" s="1870" t="s">
        <v>2533</v>
      </c>
      <c r="J856" s="1912">
        <f t="shared" si="2"/>
        <v>18240000</v>
      </c>
    </row>
    <row r="857" spans="1:10" ht="13.5" thickBot="1">
      <c r="A857" s="1856" t="s">
        <v>2705</v>
      </c>
      <c r="B857" s="1872" t="s">
        <v>2535</v>
      </c>
      <c r="C857" s="1865">
        <v>13</v>
      </c>
      <c r="D857" s="1868" t="s">
        <v>2536</v>
      </c>
      <c r="E857" s="1867" t="s">
        <v>2538</v>
      </c>
      <c r="F857" s="1868" t="s">
        <v>2637</v>
      </c>
      <c r="G857" s="1869">
        <v>10430</v>
      </c>
      <c r="H857" s="1896">
        <v>6029999</v>
      </c>
      <c r="I857" s="1870" t="s">
        <v>2537</v>
      </c>
      <c r="J857" s="1912">
        <f t="shared" si="2"/>
        <v>32250000</v>
      </c>
    </row>
    <row r="858" spans="1:10" ht="13.5" thickBot="1">
      <c r="A858" s="1856" t="s">
        <v>2705</v>
      </c>
      <c r="B858" s="1872" t="s">
        <v>2539</v>
      </c>
      <c r="C858" s="1865">
        <v>13</v>
      </c>
      <c r="D858" s="1868" t="s">
        <v>2540</v>
      </c>
      <c r="E858" s="1867" t="s">
        <v>2542</v>
      </c>
      <c r="F858" s="1868" t="s">
        <v>2637</v>
      </c>
      <c r="G858" s="1869">
        <v>10430</v>
      </c>
      <c r="H858" s="1896">
        <v>6029999</v>
      </c>
      <c r="I858" s="1870" t="s">
        <v>2541</v>
      </c>
      <c r="J858" s="1912">
        <f t="shared" si="2"/>
        <v>134190000</v>
      </c>
    </row>
    <row r="859" spans="1:10" ht="13.5" thickBot="1">
      <c r="A859" s="1856" t="s">
        <v>2705</v>
      </c>
      <c r="B859" s="1872" t="s">
        <v>2701</v>
      </c>
      <c r="C859" s="1865">
        <v>13</v>
      </c>
      <c r="D859" s="1868" t="s">
        <v>2543</v>
      </c>
      <c r="E859" s="1867" t="s">
        <v>2545</v>
      </c>
      <c r="F859" s="1868" t="s">
        <v>2637</v>
      </c>
      <c r="G859" s="1869">
        <v>10430</v>
      </c>
      <c r="H859" s="1896">
        <v>6029999</v>
      </c>
      <c r="I859" s="1870" t="s">
        <v>2544</v>
      </c>
      <c r="J859" s="1912">
        <f t="shared" si="2"/>
        <v>106660000</v>
      </c>
    </row>
    <row r="860" spans="1:10" ht="13.5" thickBot="1">
      <c r="A860" s="1856" t="s">
        <v>2705</v>
      </c>
      <c r="B860" s="1872" t="s">
        <v>2546</v>
      </c>
      <c r="C860" s="1865">
        <v>13</v>
      </c>
      <c r="D860" s="1868" t="s">
        <v>2547</v>
      </c>
      <c r="E860" s="1867" t="s">
        <v>2549</v>
      </c>
      <c r="F860" s="1868" t="s">
        <v>2637</v>
      </c>
      <c r="G860" s="1869">
        <v>10430</v>
      </c>
      <c r="H860" s="1896">
        <v>6029999</v>
      </c>
      <c r="I860" s="1870" t="s">
        <v>2548</v>
      </c>
      <c r="J860" s="1912">
        <f t="shared" si="2"/>
        <v>40180000</v>
      </c>
    </row>
    <row r="861" spans="1:10" ht="13.5" thickBot="1">
      <c r="A861" s="1856" t="s">
        <v>2705</v>
      </c>
      <c r="B861" s="1872" t="s">
        <v>2550</v>
      </c>
      <c r="C861" s="1865">
        <v>13</v>
      </c>
      <c r="D861" s="1868" t="s">
        <v>2551</v>
      </c>
      <c r="E861" s="1867" t="s">
        <v>2553</v>
      </c>
      <c r="F861" s="1868" t="s">
        <v>2637</v>
      </c>
      <c r="G861" s="1869">
        <v>10430</v>
      </c>
      <c r="H861" s="1896">
        <v>6029999</v>
      </c>
      <c r="I861" s="1870" t="s">
        <v>2552</v>
      </c>
      <c r="J861" s="1912">
        <f t="shared" si="2"/>
        <v>51800000</v>
      </c>
    </row>
    <row r="862" spans="1:10" ht="13.5" thickBot="1">
      <c r="A862" s="1856" t="s">
        <v>2705</v>
      </c>
      <c r="B862" s="1872" t="s">
        <v>2554</v>
      </c>
      <c r="C862" s="1865">
        <v>13</v>
      </c>
      <c r="D862" s="1868" t="s">
        <v>2555</v>
      </c>
      <c r="E862" s="1867" t="s">
        <v>2557</v>
      </c>
      <c r="F862" s="1868" t="s">
        <v>2637</v>
      </c>
      <c r="G862" s="1869">
        <v>10430</v>
      </c>
      <c r="H862" s="1896">
        <v>6029999</v>
      </c>
      <c r="I862" s="1870" t="s">
        <v>2556</v>
      </c>
      <c r="J862" s="1912">
        <f t="shared" si="2"/>
        <v>90840000</v>
      </c>
    </row>
    <row r="863" spans="1:10" ht="13.5" thickBot="1">
      <c r="A863" s="1856" t="s">
        <v>2705</v>
      </c>
      <c r="B863" s="1872" t="s">
        <v>2558</v>
      </c>
      <c r="C863" s="1865">
        <v>13</v>
      </c>
      <c r="D863" s="1868" t="s">
        <v>2559</v>
      </c>
      <c r="E863" s="1867" t="s">
        <v>2561</v>
      </c>
      <c r="F863" s="1868" t="s">
        <v>2637</v>
      </c>
      <c r="G863" s="1869">
        <v>10430</v>
      </c>
      <c r="H863" s="1896">
        <v>6029999</v>
      </c>
      <c r="I863" s="1870" t="s">
        <v>2560</v>
      </c>
      <c r="J863" s="1912">
        <f t="shared" si="2"/>
        <v>43600000</v>
      </c>
    </row>
    <row r="864" spans="1:10" ht="13.5" thickBot="1">
      <c r="A864" s="1856" t="s">
        <v>2705</v>
      </c>
      <c r="B864" s="1872" t="s">
        <v>2562</v>
      </c>
      <c r="C864" s="1865">
        <v>13</v>
      </c>
      <c r="D864" s="1868" t="s">
        <v>2563</v>
      </c>
      <c r="E864" s="1867" t="s">
        <v>2565</v>
      </c>
      <c r="F864" s="1868" t="s">
        <v>2637</v>
      </c>
      <c r="G864" s="1869">
        <v>10430</v>
      </c>
      <c r="H864" s="1896">
        <v>6029999</v>
      </c>
      <c r="I864" s="1870" t="s">
        <v>2564</v>
      </c>
      <c r="J864" s="1912">
        <f t="shared" si="2"/>
        <v>71850000</v>
      </c>
    </row>
    <row r="865" spans="1:10" ht="13.5" thickBot="1">
      <c r="A865" s="1856" t="s">
        <v>2705</v>
      </c>
      <c r="B865" s="1872" t="s">
        <v>2566</v>
      </c>
      <c r="C865" s="1865">
        <v>13</v>
      </c>
      <c r="D865" s="1868" t="s">
        <v>2567</v>
      </c>
      <c r="E865" s="1867" t="s">
        <v>2569</v>
      </c>
      <c r="F865" s="1868" t="s">
        <v>2637</v>
      </c>
      <c r="G865" s="1869">
        <v>10430</v>
      </c>
      <c r="H865" s="1896">
        <v>6029999</v>
      </c>
      <c r="I865" s="1870" t="s">
        <v>2568</v>
      </c>
      <c r="J865" s="1912">
        <f t="shared" si="2"/>
        <v>44180000</v>
      </c>
    </row>
    <row r="866" spans="1:10" ht="13.5" thickBot="1">
      <c r="A866" s="1856" t="s">
        <v>2705</v>
      </c>
      <c r="B866" s="1872" t="s">
        <v>2570</v>
      </c>
      <c r="C866" s="1865">
        <v>13</v>
      </c>
      <c r="D866" s="1868" t="s">
        <v>2571</v>
      </c>
      <c r="E866" s="1867" t="s">
        <v>2573</v>
      </c>
      <c r="F866" s="1868" t="s">
        <v>2637</v>
      </c>
      <c r="G866" s="1869">
        <v>10430</v>
      </c>
      <c r="H866" s="1896">
        <v>6029999</v>
      </c>
      <c r="I866" s="1870" t="s">
        <v>2572</v>
      </c>
      <c r="J866" s="1912">
        <f t="shared" si="2"/>
        <v>151840000</v>
      </c>
    </row>
    <row r="867" spans="1:10" ht="13.5" thickBot="1">
      <c r="A867" s="1856" t="s">
        <v>2705</v>
      </c>
      <c r="B867" s="1872" t="s">
        <v>2574</v>
      </c>
      <c r="C867" s="1865">
        <v>13</v>
      </c>
      <c r="D867" s="1868" t="s">
        <v>2575</v>
      </c>
      <c r="E867" s="1867" t="s">
        <v>2576</v>
      </c>
      <c r="F867" s="1868" t="s">
        <v>2637</v>
      </c>
      <c r="G867" s="1869">
        <v>10430</v>
      </c>
      <c r="H867" s="1896">
        <v>6029999</v>
      </c>
      <c r="I867" s="1870" t="s">
        <v>2572</v>
      </c>
      <c r="J867" s="1912">
        <f t="shared" si="2"/>
        <v>42460000</v>
      </c>
    </row>
    <row r="868" spans="1:10" ht="13.5" thickBot="1">
      <c r="A868" s="1856" t="s">
        <v>2705</v>
      </c>
      <c r="B868" s="1872" t="s">
        <v>2577</v>
      </c>
      <c r="C868" s="1865">
        <v>13</v>
      </c>
      <c r="D868" s="1868" t="s">
        <v>2578</v>
      </c>
      <c r="E868" s="1867" t="s">
        <v>2580</v>
      </c>
      <c r="F868" s="1868" t="s">
        <v>2637</v>
      </c>
      <c r="G868" s="1869">
        <v>10430</v>
      </c>
      <c r="H868" s="1896">
        <v>6029999</v>
      </c>
      <c r="I868" s="1870" t="s">
        <v>2579</v>
      </c>
      <c r="J868" s="1912">
        <f t="shared" si="2"/>
        <v>18140000</v>
      </c>
    </row>
    <row r="869" spans="1:10" ht="13.5" thickBot="1">
      <c r="A869" s="1856" t="s">
        <v>2705</v>
      </c>
      <c r="B869" s="1872" t="s">
        <v>2581</v>
      </c>
      <c r="C869" s="1865">
        <v>13</v>
      </c>
      <c r="D869" s="1868" t="s">
        <v>2582</v>
      </c>
      <c r="E869" s="1867" t="s">
        <v>2583</v>
      </c>
      <c r="F869" s="1868" t="s">
        <v>2637</v>
      </c>
      <c r="G869" s="1869">
        <v>10430</v>
      </c>
      <c r="H869" s="1896">
        <v>6029999</v>
      </c>
      <c r="I869" s="1870" t="s">
        <v>2579</v>
      </c>
      <c r="J869" s="1912">
        <f t="shared" si="2"/>
        <v>16280000</v>
      </c>
    </row>
    <row r="870" spans="1:10" ht="13.5" thickBot="1">
      <c r="A870" s="1856" t="s">
        <v>2705</v>
      </c>
      <c r="B870" s="1872" t="s">
        <v>2584</v>
      </c>
      <c r="C870" s="1865">
        <v>13</v>
      </c>
      <c r="D870" s="1868" t="s">
        <v>2585</v>
      </c>
      <c r="E870" s="1867" t="s">
        <v>2586</v>
      </c>
      <c r="F870" s="1868" t="s">
        <v>2637</v>
      </c>
      <c r="G870" s="1869">
        <v>10430</v>
      </c>
      <c r="H870" s="1896">
        <v>6029999</v>
      </c>
      <c r="I870" s="1870" t="s">
        <v>2372</v>
      </c>
      <c r="J870" s="1912">
        <f t="shared" si="2"/>
        <v>401850000</v>
      </c>
    </row>
    <row r="871" spans="1:10" ht="13.5" thickBot="1">
      <c r="A871" s="1856" t="s">
        <v>2705</v>
      </c>
      <c r="B871" s="1872" t="s">
        <v>2587</v>
      </c>
      <c r="C871" s="1865">
        <v>13</v>
      </c>
      <c r="D871" s="1868" t="s">
        <v>2588</v>
      </c>
      <c r="E871" s="1877" t="s">
        <v>2589</v>
      </c>
      <c r="F871" s="1868" t="s">
        <v>2637</v>
      </c>
      <c r="G871" s="1869">
        <v>10430</v>
      </c>
      <c r="H871" s="1896">
        <v>6029999</v>
      </c>
      <c r="I871" s="1870" t="s">
        <v>2372</v>
      </c>
      <c r="J871" s="1912">
        <f t="shared" si="2"/>
        <v>71220000</v>
      </c>
    </row>
    <row r="872" spans="1:10" ht="13.5" thickBot="1">
      <c r="A872" s="1856" t="s">
        <v>2705</v>
      </c>
      <c r="B872" s="1872" t="s">
        <v>2590</v>
      </c>
      <c r="C872" s="1865">
        <v>13</v>
      </c>
      <c r="D872" s="1868" t="s">
        <v>2591</v>
      </c>
      <c r="E872" s="1867" t="s">
        <v>2592</v>
      </c>
      <c r="F872" s="1868" t="s">
        <v>2637</v>
      </c>
      <c r="G872" s="1869">
        <v>10430</v>
      </c>
      <c r="H872" s="1896">
        <v>6029999</v>
      </c>
      <c r="I872" s="1870" t="s">
        <v>2372</v>
      </c>
      <c r="J872" s="1912">
        <f t="shared" si="2"/>
        <v>20130000</v>
      </c>
    </row>
    <row r="873" spans="1:10" ht="13.5" thickBot="1">
      <c r="A873" s="1856" t="s">
        <v>2705</v>
      </c>
      <c r="B873" s="1872" t="s">
        <v>2593</v>
      </c>
      <c r="C873" s="1865">
        <v>13</v>
      </c>
      <c r="D873" s="1868" t="s">
        <v>2594</v>
      </c>
      <c r="E873" s="1867" t="s">
        <v>2596</v>
      </c>
      <c r="F873" s="1868" t="s">
        <v>2637</v>
      </c>
      <c r="G873" s="1869">
        <v>10430</v>
      </c>
      <c r="H873" s="1896">
        <v>6029999</v>
      </c>
      <c r="I873" s="1870" t="s">
        <v>2595</v>
      </c>
      <c r="J873" s="1912">
        <f t="shared" si="2"/>
        <v>44100000</v>
      </c>
    </row>
    <row r="874" spans="1:10" ht="13.5" thickBot="1">
      <c r="A874" s="1856" t="s">
        <v>2705</v>
      </c>
      <c r="B874" s="1872" t="s">
        <v>2597</v>
      </c>
      <c r="C874" s="1865">
        <v>13</v>
      </c>
      <c r="D874" s="1868" t="s">
        <v>2598</v>
      </c>
      <c r="E874" s="1867" t="s">
        <v>2599</v>
      </c>
      <c r="F874" s="1868" t="s">
        <v>2637</v>
      </c>
      <c r="G874" s="1869">
        <v>10430</v>
      </c>
      <c r="H874" s="1896">
        <v>6029999</v>
      </c>
      <c r="I874" s="1870" t="s">
        <v>2595</v>
      </c>
      <c r="J874" s="1912">
        <f t="shared" si="2"/>
        <v>20760000</v>
      </c>
    </row>
    <row r="875" spans="1:10" ht="13.5" thickBot="1">
      <c r="A875" s="1856" t="s">
        <v>2705</v>
      </c>
      <c r="B875" s="1872" t="s">
        <v>2600</v>
      </c>
      <c r="C875" s="1865">
        <v>13</v>
      </c>
      <c r="D875" s="1868" t="s">
        <v>2601</v>
      </c>
      <c r="E875" s="1867" t="s">
        <v>2602</v>
      </c>
      <c r="F875" s="1868" t="s">
        <v>2637</v>
      </c>
      <c r="G875" s="1869">
        <v>10430</v>
      </c>
      <c r="H875" s="1896">
        <v>6029999</v>
      </c>
      <c r="I875" s="1870" t="s">
        <v>2336</v>
      </c>
      <c r="J875" s="1912">
        <f t="shared" si="2"/>
        <v>106130000</v>
      </c>
    </row>
    <row r="876" spans="1:10" ht="13.5" thickBot="1">
      <c r="A876" s="1856" t="s">
        <v>2705</v>
      </c>
      <c r="B876" s="1872" t="s">
        <v>2603</v>
      </c>
      <c r="C876" s="1865">
        <v>13</v>
      </c>
      <c r="D876" s="1868" t="s">
        <v>2604</v>
      </c>
      <c r="E876" s="1867" t="s">
        <v>2605</v>
      </c>
      <c r="F876" s="1868" t="s">
        <v>2637</v>
      </c>
      <c r="G876" s="1869">
        <v>10430</v>
      </c>
      <c r="H876" s="1896">
        <v>6029999</v>
      </c>
      <c r="I876" s="1870" t="s">
        <v>2336</v>
      </c>
      <c r="J876" s="1912">
        <f t="shared" si="2"/>
        <v>24900000</v>
      </c>
    </row>
    <row r="877" spans="1:10" ht="13.5" thickBot="1">
      <c r="A877" s="1856" t="s">
        <v>2705</v>
      </c>
      <c r="B877" s="1872" t="s">
        <v>2606</v>
      </c>
      <c r="C877" s="1865">
        <v>13</v>
      </c>
      <c r="D877" s="1868" t="s">
        <v>2607</v>
      </c>
      <c r="E877" s="1867" t="s">
        <v>2608</v>
      </c>
      <c r="F877" s="1868" t="s">
        <v>2637</v>
      </c>
      <c r="G877" s="1869">
        <v>10430</v>
      </c>
      <c r="H877" s="1896">
        <v>6029999</v>
      </c>
      <c r="I877" s="1870" t="s">
        <v>2336</v>
      </c>
      <c r="J877" s="1912">
        <f t="shared" si="2"/>
        <v>10050000</v>
      </c>
    </row>
    <row r="878" spans="1:10" ht="13.5" thickBot="1">
      <c r="A878" s="1856" t="s">
        <v>2705</v>
      </c>
      <c r="B878" s="1872" t="s">
        <v>2609</v>
      </c>
      <c r="C878" s="1865">
        <v>13</v>
      </c>
      <c r="D878" s="1868" t="s">
        <v>2610</v>
      </c>
      <c r="E878" s="1867" t="s">
        <v>2612</v>
      </c>
      <c r="F878" s="1868" t="s">
        <v>2637</v>
      </c>
      <c r="G878" s="1869">
        <v>10430</v>
      </c>
      <c r="H878" s="1896">
        <v>6029999</v>
      </c>
      <c r="I878" s="1870" t="s">
        <v>2611</v>
      </c>
      <c r="J878" s="1912">
        <f t="shared" si="2"/>
        <v>36070000</v>
      </c>
    </row>
    <row r="879" spans="1:10" ht="13.5" thickBot="1">
      <c r="A879" s="1856" t="s">
        <v>2705</v>
      </c>
      <c r="B879" s="1872" t="s">
        <v>2613</v>
      </c>
      <c r="C879" s="1865">
        <v>13</v>
      </c>
      <c r="D879" s="1868" t="s">
        <v>2614</v>
      </c>
      <c r="E879" s="1867" t="s">
        <v>2615</v>
      </c>
      <c r="F879" s="1868" t="s">
        <v>2637</v>
      </c>
      <c r="G879" s="1869">
        <v>10430</v>
      </c>
      <c r="H879" s="1896">
        <v>6029999</v>
      </c>
      <c r="I879" s="1870" t="s">
        <v>2611</v>
      </c>
      <c r="J879" s="1912">
        <f t="shared" si="2"/>
        <v>8500000</v>
      </c>
    </row>
    <row r="880" spans="1:10" ht="13.5" thickBot="1">
      <c r="A880" s="1856" t="s">
        <v>2705</v>
      </c>
      <c r="B880" s="1864" t="s">
        <v>2616</v>
      </c>
      <c r="C880" s="1865">
        <v>13</v>
      </c>
      <c r="D880" s="1866" t="s">
        <v>2617</v>
      </c>
      <c r="E880" s="1875" t="s">
        <v>2619</v>
      </c>
      <c r="F880" s="1868" t="s">
        <v>2637</v>
      </c>
      <c r="G880" s="1869">
        <v>10430</v>
      </c>
      <c r="H880" s="1896">
        <v>6029999</v>
      </c>
      <c r="I880" s="1876" t="s">
        <v>2618</v>
      </c>
      <c r="J880" s="1912">
        <f t="shared" si="2"/>
        <v>16760000</v>
      </c>
    </row>
    <row r="881" spans="1:10" ht="13.5" thickBot="1">
      <c r="A881" s="1856" t="s">
        <v>2705</v>
      </c>
      <c r="B881" s="1878" t="s">
        <v>2620</v>
      </c>
      <c r="C881" s="1879"/>
      <c r="D881" s="1880" t="s">
        <v>2621</v>
      </c>
      <c r="E881" s="1867" t="s">
        <v>2622</v>
      </c>
      <c r="F881" s="1880" t="s">
        <v>2637</v>
      </c>
      <c r="G881" s="1882">
        <v>10430</v>
      </c>
      <c r="H881" s="1896">
        <v>6029999</v>
      </c>
      <c r="I881" s="1870" t="s">
        <v>2618</v>
      </c>
      <c r="J881" s="1912">
        <f>J750+J811</f>
        <v>12520000</v>
      </c>
    </row>
    <row r="882" spans="1:10" ht="13.5" thickBot="1">
      <c r="A882" s="1913"/>
      <c r="B882" s="1914"/>
      <c r="C882" s="1914"/>
      <c r="D882" s="1914"/>
      <c r="E882" s="1915"/>
      <c r="F882" s="1914"/>
      <c r="G882" s="1914" t="s">
        <v>2688</v>
      </c>
      <c r="H882" s="1915"/>
      <c r="I882" s="1870"/>
      <c r="J882" s="1912">
        <f>SUM(J883)</f>
        <v>3552370000</v>
      </c>
    </row>
    <row r="883" spans="1:10" ht="13.5" thickBot="1">
      <c r="A883" s="1916" t="s">
        <v>2705</v>
      </c>
      <c r="B883" s="1892" t="s">
        <v>2316</v>
      </c>
      <c r="C883" s="1893">
        <v>13</v>
      </c>
      <c r="D883" s="1893" t="s">
        <v>2384</v>
      </c>
      <c r="E883" s="1894" t="s">
        <v>2689</v>
      </c>
      <c r="F883" s="1893" t="s">
        <v>2637</v>
      </c>
      <c r="G883" s="1895">
        <v>10430</v>
      </c>
      <c r="H883" s="1896">
        <v>6029999</v>
      </c>
      <c r="I883" s="1917">
        <v>3535</v>
      </c>
      <c r="J883" s="1912">
        <f>J820</f>
        <v>3552370000</v>
      </c>
    </row>
    <row r="884" spans="1:10">
      <c r="A884" s="1918"/>
      <c r="B884" s="1918"/>
      <c r="C884" s="1918"/>
      <c r="D884" s="1918"/>
      <c r="E884" s="1918"/>
      <c r="F884" s="1918"/>
      <c r="G884" s="1918"/>
      <c r="H884" s="1918"/>
      <c r="I884" s="1918"/>
      <c r="J884" s="1918"/>
    </row>
    <row r="886" spans="1:10" ht="15">
      <c r="A886" s="1919" t="s">
        <v>2300</v>
      </c>
      <c r="B886" s="1920"/>
      <c r="C886" s="1920"/>
      <c r="D886" s="1920"/>
      <c r="E886" s="1921"/>
      <c r="F886" s="1920"/>
      <c r="G886" s="1920"/>
      <c r="H886" s="1921"/>
      <c r="I886" s="1920"/>
      <c r="J886" s="1922"/>
    </row>
    <row r="887" spans="1:10" ht="15">
      <c r="A887" s="1919" t="s">
        <v>27</v>
      </c>
      <c r="B887" s="1920"/>
      <c r="C887" s="1920"/>
      <c r="D887" s="1920"/>
      <c r="E887" s="1921"/>
      <c r="F887" s="1920"/>
      <c r="G887" s="1920"/>
      <c r="H887" s="1921"/>
      <c r="I887" s="1920"/>
      <c r="J887" s="1922"/>
    </row>
    <row r="888" spans="1:10" ht="15">
      <c r="A888" s="1919"/>
      <c r="B888" s="1920"/>
      <c r="C888" s="1920"/>
      <c r="D888" s="1920"/>
      <c r="E888" s="1921" t="s">
        <v>2706</v>
      </c>
      <c r="F888" s="1920"/>
      <c r="G888" s="1920"/>
      <c r="H888" s="1921"/>
      <c r="I888" s="1920"/>
      <c r="J888" s="1922"/>
    </row>
    <row r="889" spans="1:10" ht="15.75" thickBot="1">
      <c r="A889" s="1920"/>
      <c r="B889" s="1920"/>
      <c r="C889" s="1920"/>
      <c r="D889" s="1920"/>
      <c r="E889" s="1920"/>
      <c r="F889" s="1920"/>
      <c r="G889" s="1920"/>
      <c r="H889" s="1920"/>
      <c r="I889" s="1920"/>
      <c r="J889" s="1922"/>
    </row>
    <row r="890" spans="1:10" ht="45.75" thickBot="1">
      <c r="A890" s="1923" t="s">
        <v>2303</v>
      </c>
      <c r="B890" s="1924" t="s">
        <v>2304</v>
      </c>
      <c r="C890" s="1923" t="s">
        <v>2305</v>
      </c>
      <c r="D890" s="1924" t="s">
        <v>2699</v>
      </c>
      <c r="E890" s="1925" t="s">
        <v>2306</v>
      </c>
      <c r="F890" s="1923" t="s">
        <v>2307</v>
      </c>
      <c r="G890" s="1924" t="s">
        <v>87</v>
      </c>
      <c r="H890" s="1926" t="s">
        <v>2700</v>
      </c>
      <c r="I890" s="1927" t="s">
        <v>2633</v>
      </c>
      <c r="J890" s="1928" t="s">
        <v>2314</v>
      </c>
    </row>
    <row r="891" spans="1:10" ht="15.75" thickBot="1">
      <c r="A891" s="1929"/>
      <c r="B891" s="1930"/>
      <c r="C891" s="1930"/>
      <c r="D891" s="1930"/>
      <c r="E891" s="1931"/>
      <c r="F891" s="1932" t="s">
        <v>2636</v>
      </c>
      <c r="G891" s="1930"/>
      <c r="H891" s="1933"/>
      <c r="I891" s="1930"/>
      <c r="J891" s="1934">
        <f>SUM(J892:J1013)</f>
        <v>3570580000</v>
      </c>
    </row>
    <row r="892" spans="1:10" ht="15">
      <c r="A892" s="1935" t="s">
        <v>2417</v>
      </c>
      <c r="B892" s="1936">
        <v>13</v>
      </c>
      <c r="C892" s="1937" t="s">
        <v>2418</v>
      </c>
      <c r="D892" s="1937" t="s">
        <v>2419</v>
      </c>
      <c r="E892" s="1937" t="s">
        <v>2637</v>
      </c>
      <c r="F892" s="1938">
        <v>10430</v>
      </c>
      <c r="G892" s="1938">
        <v>6060000</v>
      </c>
      <c r="H892" s="1939" t="s">
        <v>2387</v>
      </c>
      <c r="I892" s="1940" t="s">
        <v>2361</v>
      </c>
      <c r="J892" s="1941">
        <v>5360000</v>
      </c>
    </row>
    <row r="893" spans="1:10" ht="15">
      <c r="A893" s="1942" t="s">
        <v>2420</v>
      </c>
      <c r="B893" s="1943">
        <v>13</v>
      </c>
      <c r="C893" s="1944" t="s">
        <v>2421</v>
      </c>
      <c r="D893" s="1945" t="s">
        <v>2422</v>
      </c>
      <c r="E893" s="1945" t="s">
        <v>2637</v>
      </c>
      <c r="F893" s="1946">
        <v>10430</v>
      </c>
      <c r="G893" s="1946">
        <v>6060000</v>
      </c>
      <c r="H893" s="1944" t="s">
        <v>2387</v>
      </c>
      <c r="I893" s="1947" t="s">
        <v>2361</v>
      </c>
      <c r="J893" s="1948">
        <v>2780000</v>
      </c>
    </row>
    <row r="894" spans="1:10" ht="15">
      <c r="A894" s="1949" t="s">
        <v>2423</v>
      </c>
      <c r="B894" s="1943">
        <v>13</v>
      </c>
      <c r="C894" s="1945" t="s">
        <v>2424</v>
      </c>
      <c r="D894" s="1945" t="s">
        <v>2426</v>
      </c>
      <c r="E894" s="1945" t="s">
        <v>2637</v>
      </c>
      <c r="F894" s="1946">
        <v>10430</v>
      </c>
      <c r="G894" s="1946">
        <v>6060000</v>
      </c>
      <c r="H894" s="1944" t="s">
        <v>2387</v>
      </c>
      <c r="I894" s="1947" t="s">
        <v>2425</v>
      </c>
      <c r="J894" s="1948">
        <v>2700000</v>
      </c>
    </row>
    <row r="895" spans="1:10" ht="15">
      <c r="A895" s="1949" t="s">
        <v>2427</v>
      </c>
      <c r="B895" s="1943">
        <v>13</v>
      </c>
      <c r="C895" s="1945" t="s">
        <v>2428</v>
      </c>
      <c r="D895" s="1945" t="s">
        <v>2429</v>
      </c>
      <c r="E895" s="1945" t="s">
        <v>2637</v>
      </c>
      <c r="F895" s="1946">
        <v>10430</v>
      </c>
      <c r="G895" s="1946">
        <v>6060000</v>
      </c>
      <c r="H895" s="1944" t="s">
        <v>2387</v>
      </c>
      <c r="I895" s="1947" t="s">
        <v>2333</v>
      </c>
      <c r="J895" s="1948">
        <v>4760000</v>
      </c>
    </row>
    <row r="896" spans="1:10" ht="15">
      <c r="A896" s="1949" t="s">
        <v>2331</v>
      </c>
      <c r="B896" s="1943">
        <v>13</v>
      </c>
      <c r="C896" s="1945" t="s">
        <v>2430</v>
      </c>
      <c r="D896" s="1945" t="s">
        <v>2431</v>
      </c>
      <c r="E896" s="1945" t="s">
        <v>2637</v>
      </c>
      <c r="F896" s="1946">
        <v>10430</v>
      </c>
      <c r="G896" s="1946">
        <v>6060000</v>
      </c>
      <c r="H896" s="1944" t="s">
        <v>2387</v>
      </c>
      <c r="I896" s="1947" t="s">
        <v>2333</v>
      </c>
      <c r="J896" s="1948">
        <v>2920000</v>
      </c>
    </row>
    <row r="897" spans="1:10" ht="15">
      <c r="A897" s="1949">
        <v>106</v>
      </c>
      <c r="B897" s="1943">
        <v>13</v>
      </c>
      <c r="C897" s="1945">
        <v>2106001</v>
      </c>
      <c r="D897" s="1945" t="s">
        <v>2432</v>
      </c>
      <c r="E897" s="1945" t="s">
        <v>2637</v>
      </c>
      <c r="F897" s="1946">
        <v>10430</v>
      </c>
      <c r="G897" s="1946">
        <v>6060000</v>
      </c>
      <c r="H897" s="1944" t="s">
        <v>2387</v>
      </c>
      <c r="I897" s="1947" t="s">
        <v>2392</v>
      </c>
      <c r="J897" s="1948">
        <v>74630000</v>
      </c>
    </row>
    <row r="898" spans="1:10" ht="15">
      <c r="A898" s="1949" t="s">
        <v>2433</v>
      </c>
      <c r="B898" s="1943">
        <v>13</v>
      </c>
      <c r="C898" s="1945" t="s">
        <v>2434</v>
      </c>
      <c r="D898" s="1945" t="s">
        <v>2436</v>
      </c>
      <c r="E898" s="1945" t="s">
        <v>2637</v>
      </c>
      <c r="F898" s="1946">
        <v>10430</v>
      </c>
      <c r="G898" s="1946">
        <v>6060000</v>
      </c>
      <c r="H898" s="1944" t="s">
        <v>2387</v>
      </c>
      <c r="I898" s="1947" t="s">
        <v>2435</v>
      </c>
      <c r="J898" s="1948">
        <v>21050000</v>
      </c>
    </row>
    <row r="899" spans="1:10" ht="15">
      <c r="A899" s="1949" t="s">
        <v>2437</v>
      </c>
      <c r="B899" s="1943">
        <v>13</v>
      </c>
      <c r="C899" s="1945" t="s">
        <v>2438</v>
      </c>
      <c r="D899" s="1945" t="s">
        <v>2440</v>
      </c>
      <c r="E899" s="1945" t="s">
        <v>2637</v>
      </c>
      <c r="F899" s="1946">
        <v>10430</v>
      </c>
      <c r="G899" s="1946">
        <v>6060000</v>
      </c>
      <c r="H899" s="1944" t="s">
        <v>2387</v>
      </c>
      <c r="I899" s="1950" t="s">
        <v>2439</v>
      </c>
      <c r="J899" s="1948">
        <v>21190000</v>
      </c>
    </row>
    <row r="900" spans="1:10" ht="15">
      <c r="A900" s="1949" t="s">
        <v>2441</v>
      </c>
      <c r="B900" s="1943">
        <v>13</v>
      </c>
      <c r="C900" s="1945" t="s">
        <v>2442</v>
      </c>
      <c r="D900" s="1945" t="s">
        <v>2443</v>
      </c>
      <c r="E900" s="1945" t="s">
        <v>2637</v>
      </c>
      <c r="F900" s="1946">
        <v>10430</v>
      </c>
      <c r="G900" s="1946">
        <v>6060000</v>
      </c>
      <c r="H900" s="1944" t="s">
        <v>2387</v>
      </c>
      <c r="I900" s="1950" t="s">
        <v>2439</v>
      </c>
      <c r="J900" s="1948">
        <v>18420000</v>
      </c>
    </row>
    <row r="901" spans="1:10" ht="15">
      <c r="A901" s="1949" t="s">
        <v>2444</v>
      </c>
      <c r="B901" s="1943">
        <v>13</v>
      </c>
      <c r="C901" s="1945" t="s">
        <v>2445</v>
      </c>
      <c r="D901" s="1945" t="s">
        <v>2446</v>
      </c>
      <c r="E901" s="1945" t="s">
        <v>2637</v>
      </c>
      <c r="F901" s="1946">
        <v>10430</v>
      </c>
      <c r="G901" s="1946">
        <v>6060000</v>
      </c>
      <c r="H901" s="1944" t="s">
        <v>2387</v>
      </c>
      <c r="I901" s="1947" t="s">
        <v>2349</v>
      </c>
      <c r="J901" s="1948">
        <v>1640000</v>
      </c>
    </row>
    <row r="902" spans="1:10" ht="15">
      <c r="A902" s="1949" t="s">
        <v>2447</v>
      </c>
      <c r="B902" s="1943">
        <v>13</v>
      </c>
      <c r="C902" s="1945" t="s">
        <v>2448</v>
      </c>
      <c r="D902" s="1945" t="s">
        <v>2449</v>
      </c>
      <c r="E902" s="1945" t="s">
        <v>2637</v>
      </c>
      <c r="F902" s="1946">
        <v>10430</v>
      </c>
      <c r="G902" s="1946">
        <v>6060000</v>
      </c>
      <c r="H902" s="1944" t="s">
        <v>2387</v>
      </c>
      <c r="I902" s="1947" t="s">
        <v>2349</v>
      </c>
      <c r="J902" s="1948">
        <v>810000</v>
      </c>
    </row>
    <row r="903" spans="1:10" ht="15">
      <c r="A903" s="1949" t="s">
        <v>2450</v>
      </c>
      <c r="B903" s="1943">
        <v>13</v>
      </c>
      <c r="C903" s="1945" t="s">
        <v>2451</v>
      </c>
      <c r="D903" s="1945" t="s">
        <v>2453</v>
      </c>
      <c r="E903" s="1945" t="s">
        <v>2637</v>
      </c>
      <c r="F903" s="1946">
        <v>10430</v>
      </c>
      <c r="G903" s="1946">
        <v>6060000</v>
      </c>
      <c r="H903" s="1944" t="s">
        <v>2387</v>
      </c>
      <c r="I903" s="1947" t="s">
        <v>2452</v>
      </c>
      <c r="J903" s="1948">
        <v>4810000</v>
      </c>
    </row>
    <row r="904" spans="1:10" ht="15">
      <c r="A904" s="1949" t="s">
        <v>2454</v>
      </c>
      <c r="B904" s="1943">
        <v>13</v>
      </c>
      <c r="C904" s="1945" t="s">
        <v>2455</v>
      </c>
      <c r="D904" s="1945" t="s">
        <v>2456</v>
      </c>
      <c r="E904" s="1945" t="s">
        <v>2637</v>
      </c>
      <c r="F904" s="1946">
        <v>10430</v>
      </c>
      <c r="G904" s="1946">
        <v>6060000</v>
      </c>
      <c r="H904" s="1944" t="s">
        <v>2387</v>
      </c>
      <c r="I904" s="1947" t="s">
        <v>2397</v>
      </c>
      <c r="J904" s="1948">
        <v>63910000</v>
      </c>
    </row>
    <row r="905" spans="1:10" ht="15">
      <c r="A905" s="1949" t="s">
        <v>2457</v>
      </c>
      <c r="B905" s="1943">
        <v>13</v>
      </c>
      <c r="C905" s="1945" t="s">
        <v>2458</v>
      </c>
      <c r="D905" s="1945" t="s">
        <v>2459</v>
      </c>
      <c r="E905" s="1945" t="s">
        <v>2637</v>
      </c>
      <c r="F905" s="1946">
        <v>10430</v>
      </c>
      <c r="G905" s="1946">
        <v>6060000</v>
      </c>
      <c r="H905" s="1944" t="s">
        <v>2387</v>
      </c>
      <c r="I905" s="1947" t="s">
        <v>2397</v>
      </c>
      <c r="J905" s="1948">
        <v>7240000</v>
      </c>
    </row>
    <row r="906" spans="1:10" ht="15">
      <c r="A906" s="1949" t="s">
        <v>2460</v>
      </c>
      <c r="B906" s="1943">
        <v>13</v>
      </c>
      <c r="C906" s="1945" t="s">
        <v>2461</v>
      </c>
      <c r="D906" s="1945" t="s">
        <v>2462</v>
      </c>
      <c r="E906" s="1945" t="s">
        <v>2637</v>
      </c>
      <c r="F906" s="1946">
        <v>10430</v>
      </c>
      <c r="G906" s="1946">
        <v>6060000</v>
      </c>
      <c r="H906" s="1944" t="s">
        <v>2387</v>
      </c>
      <c r="I906" s="1947" t="s">
        <v>2397</v>
      </c>
      <c r="J906" s="1948">
        <v>9760000</v>
      </c>
    </row>
    <row r="907" spans="1:10" ht="15">
      <c r="A907" s="1949" t="s">
        <v>2463</v>
      </c>
      <c r="B907" s="1943">
        <v>13</v>
      </c>
      <c r="C907" s="1945" t="s">
        <v>2464</v>
      </c>
      <c r="D907" s="1945" t="s">
        <v>2466</v>
      </c>
      <c r="E907" s="1945" t="s">
        <v>2637</v>
      </c>
      <c r="F907" s="1946">
        <v>10430</v>
      </c>
      <c r="G907" s="1946">
        <v>6060000</v>
      </c>
      <c r="H907" s="1944" t="s">
        <v>2387</v>
      </c>
      <c r="I907" s="1947" t="s">
        <v>2465</v>
      </c>
      <c r="J907" s="1948">
        <v>18120000</v>
      </c>
    </row>
    <row r="908" spans="1:10" ht="15">
      <c r="A908" s="1949" t="s">
        <v>2467</v>
      </c>
      <c r="B908" s="1943">
        <v>13</v>
      </c>
      <c r="C908" s="1945" t="s">
        <v>2468</v>
      </c>
      <c r="D908" s="1945" t="s">
        <v>2470</v>
      </c>
      <c r="E908" s="1945" t="s">
        <v>2637</v>
      </c>
      <c r="F908" s="1946">
        <v>10430</v>
      </c>
      <c r="G908" s="1946">
        <v>6060000</v>
      </c>
      <c r="H908" s="1944" t="s">
        <v>2387</v>
      </c>
      <c r="I908" s="1947" t="s">
        <v>2469</v>
      </c>
      <c r="J908" s="1948">
        <v>26290000</v>
      </c>
    </row>
    <row r="909" spans="1:10" ht="15">
      <c r="A909" s="1949" t="s">
        <v>2471</v>
      </c>
      <c r="B909" s="1943">
        <v>13</v>
      </c>
      <c r="C909" s="1945" t="s">
        <v>2472</v>
      </c>
      <c r="D909" s="1945" t="s">
        <v>2474</v>
      </c>
      <c r="E909" s="1945" t="s">
        <v>2637</v>
      </c>
      <c r="F909" s="1946">
        <v>10430</v>
      </c>
      <c r="G909" s="1946">
        <v>6060000</v>
      </c>
      <c r="H909" s="1944" t="s">
        <v>2387</v>
      </c>
      <c r="I909" s="1947" t="s">
        <v>2473</v>
      </c>
      <c r="J909" s="1948">
        <v>35410000</v>
      </c>
    </row>
    <row r="910" spans="1:10" ht="15">
      <c r="A910" s="1949" t="s">
        <v>2475</v>
      </c>
      <c r="B910" s="1943">
        <v>13</v>
      </c>
      <c r="C910" s="1945" t="s">
        <v>2476</v>
      </c>
      <c r="D910" s="1945" t="s">
        <v>2477</v>
      </c>
      <c r="E910" s="1945" t="s">
        <v>2637</v>
      </c>
      <c r="F910" s="1946">
        <v>10430</v>
      </c>
      <c r="G910" s="1946">
        <v>6060000</v>
      </c>
      <c r="H910" s="1944" t="s">
        <v>2387</v>
      </c>
      <c r="I910" s="1947" t="s">
        <v>2473</v>
      </c>
      <c r="J910" s="1948">
        <v>30940000</v>
      </c>
    </row>
    <row r="911" spans="1:10" ht="15">
      <c r="A911" s="1949" t="s">
        <v>2478</v>
      </c>
      <c r="B911" s="1943">
        <v>13</v>
      </c>
      <c r="C911" s="1945" t="s">
        <v>2479</v>
      </c>
      <c r="D911" s="1945" t="s">
        <v>2480</v>
      </c>
      <c r="E911" s="1945" t="s">
        <v>2637</v>
      </c>
      <c r="F911" s="1946">
        <v>10430</v>
      </c>
      <c r="G911" s="1946">
        <v>6060000</v>
      </c>
      <c r="H911" s="1944" t="s">
        <v>2387</v>
      </c>
      <c r="I911" s="1947" t="s">
        <v>2325</v>
      </c>
      <c r="J911" s="1948">
        <v>6420000</v>
      </c>
    </row>
    <row r="912" spans="1:10" ht="15">
      <c r="A912" s="1949" t="s">
        <v>2481</v>
      </c>
      <c r="B912" s="1943">
        <v>13</v>
      </c>
      <c r="C912" s="1945" t="s">
        <v>2482</v>
      </c>
      <c r="D912" s="1945" t="s">
        <v>2483</v>
      </c>
      <c r="E912" s="1945" t="s">
        <v>2637</v>
      </c>
      <c r="F912" s="1946">
        <v>10430</v>
      </c>
      <c r="G912" s="1946">
        <v>6060000</v>
      </c>
      <c r="H912" s="1944" t="s">
        <v>2387</v>
      </c>
      <c r="I912" s="1947" t="s">
        <v>2325</v>
      </c>
      <c r="J912" s="1948">
        <v>2070000</v>
      </c>
    </row>
    <row r="913" spans="1:10" ht="15">
      <c r="A913" s="1949" t="s">
        <v>2484</v>
      </c>
      <c r="B913" s="1943">
        <v>13</v>
      </c>
      <c r="C913" s="1945" t="s">
        <v>2485</v>
      </c>
      <c r="D913" s="1945" t="s">
        <v>2486</v>
      </c>
      <c r="E913" s="1945" t="s">
        <v>2637</v>
      </c>
      <c r="F913" s="1946">
        <v>10430</v>
      </c>
      <c r="G913" s="1946">
        <v>6060000</v>
      </c>
      <c r="H913" s="1944" t="s">
        <v>2387</v>
      </c>
      <c r="I913" s="1947" t="s">
        <v>2325</v>
      </c>
      <c r="J913" s="1948">
        <v>2430000</v>
      </c>
    </row>
    <row r="914" spans="1:10" ht="15">
      <c r="A914" s="1949" t="s">
        <v>2487</v>
      </c>
      <c r="B914" s="1943">
        <v>13</v>
      </c>
      <c r="C914" s="1945" t="s">
        <v>2488</v>
      </c>
      <c r="D914" s="1945" t="s">
        <v>2490</v>
      </c>
      <c r="E914" s="1945" t="s">
        <v>2637</v>
      </c>
      <c r="F914" s="1946">
        <v>10430</v>
      </c>
      <c r="G914" s="1946">
        <v>6060000</v>
      </c>
      <c r="H914" s="1944" t="s">
        <v>2387</v>
      </c>
      <c r="I914" s="1947" t="s">
        <v>2489</v>
      </c>
      <c r="J914" s="1948">
        <v>4250000</v>
      </c>
    </row>
    <row r="915" spans="1:10" ht="15">
      <c r="A915" s="1949" t="s">
        <v>2491</v>
      </c>
      <c r="B915" s="1943">
        <v>13</v>
      </c>
      <c r="C915" s="1945" t="s">
        <v>2492</v>
      </c>
      <c r="D915" s="1945" t="s">
        <v>2493</v>
      </c>
      <c r="E915" s="1945" t="s">
        <v>2637</v>
      </c>
      <c r="F915" s="1946">
        <v>10430</v>
      </c>
      <c r="G915" s="1946">
        <v>6060000</v>
      </c>
      <c r="H915" s="1944" t="s">
        <v>2387</v>
      </c>
      <c r="I915" s="1947" t="s">
        <v>2489</v>
      </c>
      <c r="J915" s="1948">
        <v>2540000</v>
      </c>
    </row>
    <row r="916" spans="1:10" ht="15">
      <c r="A916" s="1949" t="s">
        <v>2494</v>
      </c>
      <c r="B916" s="1943">
        <v>13</v>
      </c>
      <c r="C916" s="1945" t="s">
        <v>2495</v>
      </c>
      <c r="D916" s="1945" t="s">
        <v>2497</v>
      </c>
      <c r="E916" s="1945" t="s">
        <v>2637</v>
      </c>
      <c r="F916" s="1946">
        <v>10430</v>
      </c>
      <c r="G916" s="1946">
        <v>6060000</v>
      </c>
      <c r="H916" s="1944" t="s">
        <v>2387</v>
      </c>
      <c r="I916" s="1947" t="s">
        <v>2496</v>
      </c>
      <c r="J916" s="1948">
        <v>7710000</v>
      </c>
    </row>
    <row r="917" spans="1:10" ht="15">
      <c r="A917" s="1949" t="s">
        <v>148</v>
      </c>
      <c r="B917" s="1943">
        <v>13</v>
      </c>
      <c r="C917" s="1945" t="s">
        <v>2498</v>
      </c>
      <c r="D917" s="1945" t="s">
        <v>2500</v>
      </c>
      <c r="E917" s="1945" t="s">
        <v>2637</v>
      </c>
      <c r="F917" s="1946">
        <v>10430</v>
      </c>
      <c r="G917" s="1946">
        <v>6060000</v>
      </c>
      <c r="H917" s="1944" t="s">
        <v>2387</v>
      </c>
      <c r="I917" s="1947" t="s">
        <v>2499</v>
      </c>
      <c r="J917" s="1948">
        <v>760000</v>
      </c>
    </row>
    <row r="918" spans="1:10" ht="15">
      <c r="A918" s="1949" t="s">
        <v>2501</v>
      </c>
      <c r="B918" s="1943">
        <v>13</v>
      </c>
      <c r="C918" s="1945" t="s">
        <v>2502</v>
      </c>
      <c r="D918" s="1945" t="s">
        <v>2503</v>
      </c>
      <c r="E918" s="1945" t="s">
        <v>2637</v>
      </c>
      <c r="F918" s="1946">
        <v>10430</v>
      </c>
      <c r="G918" s="1946">
        <v>6060000</v>
      </c>
      <c r="H918" s="1944" t="s">
        <v>2387</v>
      </c>
      <c r="I918" s="1947" t="s">
        <v>2499</v>
      </c>
      <c r="J918" s="1948">
        <v>140000</v>
      </c>
    </row>
    <row r="919" spans="1:10" ht="15">
      <c r="A919" s="1949" t="s">
        <v>2504</v>
      </c>
      <c r="B919" s="1943">
        <v>13</v>
      </c>
      <c r="C919" s="1945" t="s">
        <v>2505</v>
      </c>
      <c r="D919" s="1945" t="s">
        <v>2507</v>
      </c>
      <c r="E919" s="1945" t="s">
        <v>2637</v>
      </c>
      <c r="F919" s="1946">
        <v>10430</v>
      </c>
      <c r="G919" s="1946">
        <v>6060000</v>
      </c>
      <c r="H919" s="1944" t="s">
        <v>2387</v>
      </c>
      <c r="I919" s="1947" t="s">
        <v>2506</v>
      </c>
      <c r="J919" s="1948">
        <v>2510000</v>
      </c>
    </row>
    <row r="920" spans="1:10" ht="15">
      <c r="A920" s="1949" t="s">
        <v>2508</v>
      </c>
      <c r="B920" s="1943">
        <v>13</v>
      </c>
      <c r="C920" s="1945" t="s">
        <v>2509</v>
      </c>
      <c r="D920" s="1945" t="s">
        <v>2510</v>
      </c>
      <c r="E920" s="1945" t="s">
        <v>2637</v>
      </c>
      <c r="F920" s="1946">
        <v>10430</v>
      </c>
      <c r="G920" s="1946">
        <v>6060000</v>
      </c>
      <c r="H920" s="1944" t="s">
        <v>2387</v>
      </c>
      <c r="I920" s="1947" t="s">
        <v>2506</v>
      </c>
      <c r="J920" s="1948">
        <v>3720000</v>
      </c>
    </row>
    <row r="921" spans="1:10" ht="15">
      <c r="A921" s="1949" t="s">
        <v>2511</v>
      </c>
      <c r="B921" s="1943">
        <v>13</v>
      </c>
      <c r="C921" s="1945" t="s">
        <v>2512</v>
      </c>
      <c r="D921" s="1945" t="s">
        <v>2514</v>
      </c>
      <c r="E921" s="1945" t="s">
        <v>2637</v>
      </c>
      <c r="F921" s="1946">
        <v>10430</v>
      </c>
      <c r="G921" s="1946">
        <v>6060000</v>
      </c>
      <c r="H921" s="1944" t="s">
        <v>2387</v>
      </c>
      <c r="I921" s="1947" t="s">
        <v>2513</v>
      </c>
      <c r="J921" s="1948">
        <v>970000</v>
      </c>
    </row>
    <row r="922" spans="1:10" ht="15">
      <c r="A922" s="1949" t="s">
        <v>2515</v>
      </c>
      <c r="B922" s="1943">
        <v>13</v>
      </c>
      <c r="C922" s="1945" t="s">
        <v>2516</v>
      </c>
      <c r="D922" s="1945" t="s">
        <v>2517</v>
      </c>
      <c r="E922" s="1945" t="s">
        <v>2637</v>
      </c>
      <c r="F922" s="1946">
        <v>10430</v>
      </c>
      <c r="G922" s="1946">
        <v>6060000</v>
      </c>
      <c r="H922" s="1944" t="s">
        <v>2387</v>
      </c>
      <c r="I922" s="1947" t="s">
        <v>2513</v>
      </c>
      <c r="J922" s="1948">
        <v>1990000</v>
      </c>
    </row>
    <row r="923" spans="1:10" ht="15">
      <c r="A923" s="1942" t="s">
        <v>2518</v>
      </c>
      <c r="B923" s="1943">
        <v>13</v>
      </c>
      <c r="C923" s="1944" t="s">
        <v>2519</v>
      </c>
      <c r="D923" s="1944" t="s">
        <v>2520</v>
      </c>
      <c r="E923" s="1945" t="s">
        <v>2637</v>
      </c>
      <c r="F923" s="1946">
        <v>10430</v>
      </c>
      <c r="G923" s="1946">
        <v>6060000</v>
      </c>
      <c r="H923" s="1944" t="s">
        <v>2387</v>
      </c>
      <c r="I923" s="1951" t="s">
        <v>2499</v>
      </c>
      <c r="J923" s="1948">
        <v>220000</v>
      </c>
    </row>
    <row r="924" spans="1:10" ht="15">
      <c r="A924" s="1949" t="s">
        <v>2521</v>
      </c>
      <c r="B924" s="1943">
        <v>13</v>
      </c>
      <c r="C924" s="1945" t="s">
        <v>2522</v>
      </c>
      <c r="D924" s="1945" t="s">
        <v>2524</v>
      </c>
      <c r="E924" s="1945" t="s">
        <v>2637</v>
      </c>
      <c r="F924" s="1946">
        <v>10430</v>
      </c>
      <c r="G924" s="1946">
        <v>6060000</v>
      </c>
      <c r="H924" s="1944" t="s">
        <v>2387</v>
      </c>
      <c r="I924" s="1947" t="s">
        <v>2523</v>
      </c>
      <c r="J924" s="1948">
        <v>5410000</v>
      </c>
    </row>
    <row r="925" spans="1:10" ht="15">
      <c r="A925" s="1949" t="s">
        <v>2525</v>
      </c>
      <c r="B925" s="1943">
        <v>13</v>
      </c>
      <c r="C925" s="1945" t="s">
        <v>2526</v>
      </c>
      <c r="D925" s="1945" t="s">
        <v>2527</v>
      </c>
      <c r="E925" s="1945" t="s">
        <v>2637</v>
      </c>
      <c r="F925" s="1946">
        <v>10430</v>
      </c>
      <c r="G925" s="1946">
        <v>6060000</v>
      </c>
      <c r="H925" s="1944" t="s">
        <v>2387</v>
      </c>
      <c r="I925" s="1947" t="s">
        <v>2523</v>
      </c>
      <c r="J925" s="1948">
        <v>20470000</v>
      </c>
    </row>
    <row r="926" spans="1:10" ht="15">
      <c r="A926" s="1942" t="s">
        <v>2528</v>
      </c>
      <c r="B926" s="1943">
        <v>13</v>
      </c>
      <c r="C926" s="1944" t="s">
        <v>2529</v>
      </c>
      <c r="D926" s="1944" t="s">
        <v>2530</v>
      </c>
      <c r="E926" s="1945" t="s">
        <v>2637</v>
      </c>
      <c r="F926" s="1946">
        <v>10430</v>
      </c>
      <c r="G926" s="1946">
        <v>6060000</v>
      </c>
      <c r="H926" s="1944" t="s">
        <v>2387</v>
      </c>
      <c r="I926" s="1951" t="s">
        <v>2523</v>
      </c>
      <c r="J926" s="1948">
        <v>260000</v>
      </c>
    </row>
    <row r="927" spans="1:10" ht="15">
      <c r="A927" s="1949" t="s">
        <v>2531</v>
      </c>
      <c r="B927" s="1943">
        <v>13</v>
      </c>
      <c r="C927" s="1945" t="s">
        <v>2532</v>
      </c>
      <c r="D927" s="1945" t="s">
        <v>2534</v>
      </c>
      <c r="E927" s="1945" t="s">
        <v>2637</v>
      </c>
      <c r="F927" s="1946">
        <v>10430</v>
      </c>
      <c r="G927" s="1946">
        <v>6060000</v>
      </c>
      <c r="H927" s="1944" t="s">
        <v>2387</v>
      </c>
      <c r="I927" s="1947" t="s">
        <v>2533</v>
      </c>
      <c r="J927" s="1948">
        <v>3150000</v>
      </c>
    </row>
    <row r="928" spans="1:10" ht="15">
      <c r="A928" s="1949" t="s">
        <v>2535</v>
      </c>
      <c r="B928" s="1943">
        <v>13</v>
      </c>
      <c r="C928" s="1945" t="s">
        <v>2536</v>
      </c>
      <c r="D928" s="1945" t="s">
        <v>2538</v>
      </c>
      <c r="E928" s="1945" t="s">
        <v>2637</v>
      </c>
      <c r="F928" s="1946">
        <v>10430</v>
      </c>
      <c r="G928" s="1946">
        <v>6060000</v>
      </c>
      <c r="H928" s="1944" t="s">
        <v>2387</v>
      </c>
      <c r="I928" s="1947" t="s">
        <v>2537</v>
      </c>
      <c r="J928" s="1948">
        <v>8640000</v>
      </c>
    </row>
    <row r="929" spans="1:10" ht="15">
      <c r="A929" s="1949" t="s">
        <v>2539</v>
      </c>
      <c r="B929" s="1943">
        <v>13</v>
      </c>
      <c r="C929" s="1945" t="s">
        <v>2540</v>
      </c>
      <c r="D929" s="1945" t="s">
        <v>2542</v>
      </c>
      <c r="E929" s="1945" t="s">
        <v>2637</v>
      </c>
      <c r="F929" s="1946">
        <v>10430</v>
      </c>
      <c r="G929" s="1946">
        <v>6060000</v>
      </c>
      <c r="H929" s="1944" t="s">
        <v>2387</v>
      </c>
      <c r="I929" s="1947" t="s">
        <v>2541</v>
      </c>
      <c r="J929" s="1948">
        <v>44910000</v>
      </c>
    </row>
    <row r="930" spans="1:10" ht="15">
      <c r="A930" s="1949" t="s">
        <v>2701</v>
      </c>
      <c r="B930" s="1943">
        <v>13</v>
      </c>
      <c r="C930" s="1945" t="s">
        <v>2543</v>
      </c>
      <c r="D930" s="1945" t="s">
        <v>2545</v>
      </c>
      <c r="E930" s="1945" t="s">
        <v>2637</v>
      </c>
      <c r="F930" s="1946">
        <v>10430</v>
      </c>
      <c r="G930" s="1946">
        <v>6060000</v>
      </c>
      <c r="H930" s="1944" t="s">
        <v>2387</v>
      </c>
      <c r="I930" s="1947" t="s">
        <v>2544</v>
      </c>
      <c r="J930" s="1948">
        <v>56580000</v>
      </c>
    </row>
    <row r="931" spans="1:10" ht="15">
      <c r="A931" s="1949" t="s">
        <v>2546</v>
      </c>
      <c r="B931" s="1943">
        <v>13</v>
      </c>
      <c r="C931" s="1945" t="s">
        <v>2547</v>
      </c>
      <c r="D931" s="1945" t="s">
        <v>2549</v>
      </c>
      <c r="E931" s="1945" t="s">
        <v>2637</v>
      </c>
      <c r="F931" s="1946">
        <v>10430</v>
      </c>
      <c r="G931" s="1946">
        <v>6060000</v>
      </c>
      <c r="H931" s="1944" t="s">
        <v>2387</v>
      </c>
      <c r="I931" s="1947" t="s">
        <v>2548</v>
      </c>
      <c r="J931" s="1948">
        <v>22880000</v>
      </c>
    </row>
    <row r="932" spans="1:10" ht="15">
      <c r="A932" s="1949" t="s">
        <v>2550</v>
      </c>
      <c r="B932" s="1943">
        <v>13</v>
      </c>
      <c r="C932" s="1945" t="s">
        <v>2551</v>
      </c>
      <c r="D932" s="1945" t="s">
        <v>2553</v>
      </c>
      <c r="E932" s="1945" t="s">
        <v>2637</v>
      </c>
      <c r="F932" s="1946">
        <v>10430</v>
      </c>
      <c r="G932" s="1946">
        <v>6060000</v>
      </c>
      <c r="H932" s="1944" t="s">
        <v>2387</v>
      </c>
      <c r="I932" s="1947" t="s">
        <v>2552</v>
      </c>
      <c r="J932" s="1948">
        <v>19950000</v>
      </c>
    </row>
    <row r="933" spans="1:10" ht="15">
      <c r="A933" s="1949" t="s">
        <v>2554</v>
      </c>
      <c r="B933" s="1943">
        <v>13</v>
      </c>
      <c r="C933" s="1945" t="s">
        <v>2555</v>
      </c>
      <c r="D933" s="1945" t="s">
        <v>2557</v>
      </c>
      <c r="E933" s="1945" t="s">
        <v>2637</v>
      </c>
      <c r="F933" s="1946">
        <v>10430</v>
      </c>
      <c r="G933" s="1946">
        <v>6060000</v>
      </c>
      <c r="H933" s="1944" t="s">
        <v>2387</v>
      </c>
      <c r="I933" s="1947" t="s">
        <v>2556</v>
      </c>
      <c r="J933" s="1948">
        <v>11190000</v>
      </c>
    </row>
    <row r="934" spans="1:10" ht="15">
      <c r="A934" s="1949" t="s">
        <v>2558</v>
      </c>
      <c r="B934" s="1943">
        <v>13</v>
      </c>
      <c r="C934" s="1945" t="s">
        <v>2559</v>
      </c>
      <c r="D934" s="1945" t="s">
        <v>2561</v>
      </c>
      <c r="E934" s="1945" t="s">
        <v>2637</v>
      </c>
      <c r="F934" s="1946">
        <v>10430</v>
      </c>
      <c r="G934" s="1946">
        <v>6060000</v>
      </c>
      <c r="H934" s="1944" t="s">
        <v>2387</v>
      </c>
      <c r="I934" s="1947" t="s">
        <v>2560</v>
      </c>
      <c r="J934" s="1948">
        <v>11840000</v>
      </c>
    </row>
    <row r="935" spans="1:10" ht="15">
      <c r="A935" s="1949" t="s">
        <v>2562</v>
      </c>
      <c r="B935" s="1943">
        <v>13</v>
      </c>
      <c r="C935" s="1945" t="s">
        <v>2563</v>
      </c>
      <c r="D935" s="1945" t="s">
        <v>2565</v>
      </c>
      <c r="E935" s="1945" t="s">
        <v>2637</v>
      </c>
      <c r="F935" s="1946">
        <v>10430</v>
      </c>
      <c r="G935" s="1946">
        <v>6060000</v>
      </c>
      <c r="H935" s="1944" t="s">
        <v>2387</v>
      </c>
      <c r="I935" s="1947" t="s">
        <v>2564</v>
      </c>
      <c r="J935" s="1948">
        <v>10880000</v>
      </c>
    </row>
    <row r="936" spans="1:10" ht="15">
      <c r="A936" s="1949" t="s">
        <v>2566</v>
      </c>
      <c r="B936" s="1943">
        <v>13</v>
      </c>
      <c r="C936" s="1945" t="s">
        <v>2567</v>
      </c>
      <c r="D936" s="1945" t="s">
        <v>2569</v>
      </c>
      <c r="E936" s="1945" t="s">
        <v>2637</v>
      </c>
      <c r="F936" s="1946">
        <v>10430</v>
      </c>
      <c r="G936" s="1946">
        <v>6060000</v>
      </c>
      <c r="H936" s="1944" t="s">
        <v>2387</v>
      </c>
      <c r="I936" s="1947" t="s">
        <v>2568</v>
      </c>
      <c r="J936" s="1948">
        <v>9370000</v>
      </c>
    </row>
    <row r="937" spans="1:10" ht="15">
      <c r="A937" s="1949" t="s">
        <v>2570</v>
      </c>
      <c r="B937" s="1943">
        <v>13</v>
      </c>
      <c r="C937" s="1945" t="s">
        <v>2571</v>
      </c>
      <c r="D937" s="1945" t="s">
        <v>2573</v>
      </c>
      <c r="E937" s="1945" t="s">
        <v>2637</v>
      </c>
      <c r="F937" s="1946">
        <v>10430</v>
      </c>
      <c r="G937" s="1946">
        <v>6060000</v>
      </c>
      <c r="H937" s="1944" t="s">
        <v>2387</v>
      </c>
      <c r="I937" s="1947" t="s">
        <v>2572</v>
      </c>
      <c r="J937" s="1948">
        <v>20830000</v>
      </c>
    </row>
    <row r="938" spans="1:10" ht="15">
      <c r="A938" s="1949" t="s">
        <v>2574</v>
      </c>
      <c r="B938" s="1943">
        <v>13</v>
      </c>
      <c r="C938" s="1945" t="s">
        <v>2575</v>
      </c>
      <c r="D938" s="1945" t="s">
        <v>2576</v>
      </c>
      <c r="E938" s="1945" t="s">
        <v>2637</v>
      </c>
      <c r="F938" s="1946">
        <v>10430</v>
      </c>
      <c r="G938" s="1946">
        <v>6060000</v>
      </c>
      <c r="H938" s="1944" t="s">
        <v>2387</v>
      </c>
      <c r="I938" s="1947" t="s">
        <v>2572</v>
      </c>
      <c r="J938" s="1948">
        <v>11940000</v>
      </c>
    </row>
    <row r="939" spans="1:10" ht="15">
      <c r="A939" s="1949" t="s">
        <v>2577</v>
      </c>
      <c r="B939" s="1943">
        <v>13</v>
      </c>
      <c r="C939" s="1945" t="s">
        <v>2578</v>
      </c>
      <c r="D939" s="1945" t="s">
        <v>2580</v>
      </c>
      <c r="E939" s="1945" t="s">
        <v>2637</v>
      </c>
      <c r="F939" s="1946">
        <v>10430</v>
      </c>
      <c r="G939" s="1946">
        <v>6060000</v>
      </c>
      <c r="H939" s="1944" t="s">
        <v>2387</v>
      </c>
      <c r="I939" s="1947" t="s">
        <v>2579</v>
      </c>
      <c r="J939" s="1948">
        <v>5220000</v>
      </c>
    </row>
    <row r="940" spans="1:10" ht="15">
      <c r="A940" s="1949" t="s">
        <v>2581</v>
      </c>
      <c r="B940" s="1943">
        <v>13</v>
      </c>
      <c r="C940" s="1945" t="s">
        <v>2582</v>
      </c>
      <c r="D940" s="1945" t="s">
        <v>2583</v>
      </c>
      <c r="E940" s="1945" t="s">
        <v>2637</v>
      </c>
      <c r="F940" s="1946">
        <v>10430</v>
      </c>
      <c r="G940" s="1946">
        <v>6060000</v>
      </c>
      <c r="H940" s="1944" t="s">
        <v>2387</v>
      </c>
      <c r="I940" s="1947" t="s">
        <v>2579</v>
      </c>
      <c r="J940" s="1948">
        <v>5700000</v>
      </c>
    </row>
    <row r="941" spans="1:10" ht="15">
      <c r="A941" s="1949" t="s">
        <v>2584</v>
      </c>
      <c r="B941" s="1943">
        <v>13</v>
      </c>
      <c r="C941" s="1945" t="s">
        <v>2585</v>
      </c>
      <c r="D941" s="1945" t="s">
        <v>2586</v>
      </c>
      <c r="E941" s="1945" t="s">
        <v>2637</v>
      </c>
      <c r="F941" s="1946">
        <v>10430</v>
      </c>
      <c r="G941" s="1946">
        <v>6060000</v>
      </c>
      <c r="H941" s="1944" t="s">
        <v>2387</v>
      </c>
      <c r="I941" s="1947" t="s">
        <v>2372</v>
      </c>
      <c r="J941" s="1948">
        <v>26700000</v>
      </c>
    </row>
    <row r="942" spans="1:10" ht="15">
      <c r="A942" s="1949" t="s">
        <v>2587</v>
      </c>
      <c r="B942" s="1943">
        <v>13</v>
      </c>
      <c r="C942" s="1945" t="s">
        <v>2588</v>
      </c>
      <c r="D942" s="1945" t="s">
        <v>2589</v>
      </c>
      <c r="E942" s="1945" t="s">
        <v>2637</v>
      </c>
      <c r="F942" s="1946">
        <v>10430</v>
      </c>
      <c r="G942" s="1946">
        <v>6060000</v>
      </c>
      <c r="H942" s="1944" t="s">
        <v>2387</v>
      </c>
      <c r="I942" s="1947" t="s">
        <v>2372</v>
      </c>
      <c r="J942" s="1948">
        <v>770000</v>
      </c>
    </row>
    <row r="943" spans="1:10" ht="15">
      <c r="A943" s="1949" t="s">
        <v>2590</v>
      </c>
      <c r="B943" s="1943">
        <v>13</v>
      </c>
      <c r="C943" s="1945" t="s">
        <v>2591</v>
      </c>
      <c r="D943" s="1945" t="s">
        <v>2592</v>
      </c>
      <c r="E943" s="1945" t="s">
        <v>2637</v>
      </c>
      <c r="F943" s="1946">
        <v>10430</v>
      </c>
      <c r="G943" s="1946">
        <v>6060000</v>
      </c>
      <c r="H943" s="1944" t="s">
        <v>2387</v>
      </c>
      <c r="I943" s="1947" t="s">
        <v>2372</v>
      </c>
      <c r="J943" s="1948">
        <v>1060000</v>
      </c>
    </row>
    <row r="944" spans="1:10" ht="15">
      <c r="A944" s="1949" t="s">
        <v>2593</v>
      </c>
      <c r="B944" s="1943">
        <v>13</v>
      </c>
      <c r="C944" s="1945" t="s">
        <v>2594</v>
      </c>
      <c r="D944" s="1945" t="s">
        <v>2596</v>
      </c>
      <c r="E944" s="1945" t="s">
        <v>2637</v>
      </c>
      <c r="F944" s="1946">
        <v>10430</v>
      </c>
      <c r="G944" s="1946">
        <v>6060000</v>
      </c>
      <c r="H944" s="1944" t="s">
        <v>2387</v>
      </c>
      <c r="I944" s="1947" t="s">
        <v>2595</v>
      </c>
      <c r="J944" s="1948">
        <v>4750000</v>
      </c>
    </row>
    <row r="945" spans="1:10" ht="15">
      <c r="A945" s="1949" t="s">
        <v>2597</v>
      </c>
      <c r="B945" s="1943">
        <v>13</v>
      </c>
      <c r="C945" s="1945" t="s">
        <v>2598</v>
      </c>
      <c r="D945" s="1945" t="s">
        <v>2599</v>
      </c>
      <c r="E945" s="1945" t="s">
        <v>2637</v>
      </c>
      <c r="F945" s="1946">
        <v>10430</v>
      </c>
      <c r="G945" s="1946">
        <v>6060000</v>
      </c>
      <c r="H945" s="1944" t="s">
        <v>2387</v>
      </c>
      <c r="I945" s="1947" t="s">
        <v>2595</v>
      </c>
      <c r="J945" s="1948">
        <v>2940000</v>
      </c>
    </row>
    <row r="946" spans="1:10" ht="15">
      <c r="A946" s="1949" t="s">
        <v>2600</v>
      </c>
      <c r="B946" s="1943">
        <v>13</v>
      </c>
      <c r="C946" s="1945" t="s">
        <v>2601</v>
      </c>
      <c r="D946" s="1945" t="s">
        <v>2602</v>
      </c>
      <c r="E946" s="1945" t="s">
        <v>2637</v>
      </c>
      <c r="F946" s="1946">
        <v>10430</v>
      </c>
      <c r="G946" s="1946">
        <v>6060000</v>
      </c>
      <c r="H946" s="1944" t="s">
        <v>2387</v>
      </c>
      <c r="I946" s="1947" t="s">
        <v>2336</v>
      </c>
      <c r="J946" s="1948">
        <v>6140000</v>
      </c>
    </row>
    <row r="947" spans="1:10" ht="15">
      <c r="A947" s="1949" t="s">
        <v>2603</v>
      </c>
      <c r="B947" s="1943">
        <v>13</v>
      </c>
      <c r="C947" s="1945" t="s">
        <v>2604</v>
      </c>
      <c r="D947" s="1945" t="s">
        <v>2605</v>
      </c>
      <c r="E947" s="1945" t="s">
        <v>2637</v>
      </c>
      <c r="F947" s="1946">
        <v>10430</v>
      </c>
      <c r="G947" s="1946">
        <v>6060000</v>
      </c>
      <c r="H947" s="1944" t="s">
        <v>2387</v>
      </c>
      <c r="I947" s="1947" t="s">
        <v>2336</v>
      </c>
      <c r="J947" s="1948">
        <f>2720000+5200000</f>
        <v>7920000</v>
      </c>
    </row>
    <row r="948" spans="1:10" ht="15">
      <c r="A948" s="1949" t="s">
        <v>2606</v>
      </c>
      <c r="B948" s="1943">
        <v>13</v>
      </c>
      <c r="C948" s="1945" t="s">
        <v>2607</v>
      </c>
      <c r="D948" s="1945" t="s">
        <v>2608</v>
      </c>
      <c r="E948" s="1945" t="s">
        <v>2637</v>
      </c>
      <c r="F948" s="1946">
        <v>10430</v>
      </c>
      <c r="G948" s="1946">
        <v>6060000</v>
      </c>
      <c r="H948" s="1944" t="s">
        <v>2387</v>
      </c>
      <c r="I948" s="1947" t="s">
        <v>2336</v>
      </c>
      <c r="J948" s="1948">
        <v>830000</v>
      </c>
    </row>
    <row r="949" spans="1:10" ht="15">
      <c r="A949" s="1949" t="s">
        <v>2609</v>
      </c>
      <c r="B949" s="1943">
        <v>13</v>
      </c>
      <c r="C949" s="1945" t="s">
        <v>2610</v>
      </c>
      <c r="D949" s="1945" t="s">
        <v>2612</v>
      </c>
      <c r="E949" s="1945" t="s">
        <v>2637</v>
      </c>
      <c r="F949" s="1946">
        <v>10430</v>
      </c>
      <c r="G949" s="1946">
        <v>6060000</v>
      </c>
      <c r="H949" s="1944" t="s">
        <v>2387</v>
      </c>
      <c r="I949" s="1947" t="s">
        <v>2611</v>
      </c>
      <c r="J949" s="1948">
        <v>2480000</v>
      </c>
    </row>
    <row r="950" spans="1:10" ht="15">
      <c r="A950" s="1949" t="s">
        <v>2613</v>
      </c>
      <c r="B950" s="1943">
        <v>13</v>
      </c>
      <c r="C950" s="1945" t="s">
        <v>2614</v>
      </c>
      <c r="D950" s="1945" t="s">
        <v>2615</v>
      </c>
      <c r="E950" s="1945" t="s">
        <v>2637</v>
      </c>
      <c r="F950" s="1946">
        <v>10430</v>
      </c>
      <c r="G950" s="1946">
        <v>6060000</v>
      </c>
      <c r="H950" s="1944" t="s">
        <v>2387</v>
      </c>
      <c r="I950" s="1947" t="s">
        <v>2611</v>
      </c>
      <c r="J950" s="1948">
        <v>1090000</v>
      </c>
    </row>
    <row r="951" spans="1:10" ht="15">
      <c r="A951" s="1942" t="s">
        <v>2616</v>
      </c>
      <c r="B951" s="1943">
        <v>13</v>
      </c>
      <c r="C951" s="1944" t="s">
        <v>2617</v>
      </c>
      <c r="D951" s="1944" t="s">
        <v>2619</v>
      </c>
      <c r="E951" s="1945" t="s">
        <v>2637</v>
      </c>
      <c r="F951" s="1946">
        <v>10430</v>
      </c>
      <c r="G951" s="1946">
        <v>6060000</v>
      </c>
      <c r="H951" s="1944" t="s">
        <v>2387</v>
      </c>
      <c r="I951" s="1951" t="s">
        <v>2618</v>
      </c>
      <c r="J951" s="1948">
        <v>310000</v>
      </c>
    </row>
    <row r="952" spans="1:10" ht="15">
      <c r="A952" s="1949" t="s">
        <v>2620</v>
      </c>
      <c r="B952" s="1943">
        <v>13</v>
      </c>
      <c r="C952" s="1945" t="s">
        <v>2621</v>
      </c>
      <c r="D952" s="1945" t="s">
        <v>2622</v>
      </c>
      <c r="E952" s="1945" t="s">
        <v>2637</v>
      </c>
      <c r="F952" s="1946">
        <v>10430</v>
      </c>
      <c r="G952" s="1946">
        <v>6060000</v>
      </c>
      <c r="H952" s="1944" t="s">
        <v>2387</v>
      </c>
      <c r="I952" s="1947" t="s">
        <v>2618</v>
      </c>
      <c r="J952" s="1948">
        <v>1050000</v>
      </c>
    </row>
    <row r="953" spans="1:10" ht="15">
      <c r="A953" s="1949" t="s">
        <v>2417</v>
      </c>
      <c r="B953" s="1943">
        <v>13</v>
      </c>
      <c r="C953" s="1945" t="s">
        <v>2418</v>
      </c>
      <c r="D953" s="1945" t="s">
        <v>2419</v>
      </c>
      <c r="E953" s="1945" t="s">
        <v>2637</v>
      </c>
      <c r="F953" s="1946">
        <v>10430</v>
      </c>
      <c r="G953" s="1946">
        <v>6060000</v>
      </c>
      <c r="H953" s="1944" t="s">
        <v>2388</v>
      </c>
      <c r="I953" s="1947" t="s">
        <v>2361</v>
      </c>
      <c r="J953" s="1952">
        <v>60930000</v>
      </c>
    </row>
    <row r="954" spans="1:10" ht="15">
      <c r="A954" s="1949" t="s">
        <v>2420</v>
      </c>
      <c r="B954" s="1943">
        <v>13</v>
      </c>
      <c r="C954" s="1945" t="s">
        <v>2421</v>
      </c>
      <c r="D954" s="1945" t="s">
        <v>2422</v>
      </c>
      <c r="E954" s="1945" t="s">
        <v>2637</v>
      </c>
      <c r="F954" s="1946">
        <v>10430</v>
      </c>
      <c r="G954" s="1946">
        <v>6060000</v>
      </c>
      <c r="H954" s="1944" t="s">
        <v>2388</v>
      </c>
      <c r="I954" s="1947" t="s">
        <v>2361</v>
      </c>
      <c r="J954" s="1952">
        <v>23140000</v>
      </c>
    </row>
    <row r="955" spans="1:10" ht="15">
      <c r="A955" s="1949" t="s">
        <v>2423</v>
      </c>
      <c r="B955" s="1943">
        <v>13</v>
      </c>
      <c r="C955" s="1945" t="s">
        <v>2424</v>
      </c>
      <c r="D955" s="1945" t="s">
        <v>2426</v>
      </c>
      <c r="E955" s="1945" t="s">
        <v>2637</v>
      </c>
      <c r="F955" s="1946">
        <v>10430</v>
      </c>
      <c r="G955" s="1946">
        <v>6060000</v>
      </c>
      <c r="H955" s="1944" t="s">
        <v>2388</v>
      </c>
      <c r="I955" s="1947" t="s">
        <v>2425</v>
      </c>
      <c r="J955" s="1953">
        <v>32550000</v>
      </c>
    </row>
    <row r="956" spans="1:10" ht="15">
      <c r="A956" s="1949" t="s">
        <v>2427</v>
      </c>
      <c r="B956" s="1943">
        <v>13</v>
      </c>
      <c r="C956" s="1945" t="s">
        <v>2428</v>
      </c>
      <c r="D956" s="1945" t="s">
        <v>2429</v>
      </c>
      <c r="E956" s="1945" t="s">
        <v>2637</v>
      </c>
      <c r="F956" s="1946">
        <v>10430</v>
      </c>
      <c r="G956" s="1946">
        <v>6060000</v>
      </c>
      <c r="H956" s="1944" t="s">
        <v>2388</v>
      </c>
      <c r="I956" s="1947" t="s">
        <v>2333</v>
      </c>
      <c r="J956" s="1953">
        <v>15100000</v>
      </c>
    </row>
    <row r="957" spans="1:10" ht="15">
      <c r="A957" s="1949" t="s">
        <v>2331</v>
      </c>
      <c r="B957" s="1943">
        <v>13</v>
      </c>
      <c r="C957" s="1945" t="s">
        <v>2430</v>
      </c>
      <c r="D957" s="1945" t="s">
        <v>2431</v>
      </c>
      <c r="E957" s="1945" t="s">
        <v>2637</v>
      </c>
      <c r="F957" s="1946">
        <v>10430</v>
      </c>
      <c r="G957" s="1946">
        <v>6060000</v>
      </c>
      <c r="H957" s="1944" t="s">
        <v>2388</v>
      </c>
      <c r="I957" s="1947" t="s">
        <v>2333</v>
      </c>
      <c r="J957" s="1953">
        <v>12680000</v>
      </c>
    </row>
    <row r="958" spans="1:10" ht="15">
      <c r="A958" s="1949">
        <v>106</v>
      </c>
      <c r="B958" s="1943">
        <v>13</v>
      </c>
      <c r="C958" s="1945">
        <v>2106001</v>
      </c>
      <c r="D958" s="1945" t="s">
        <v>2432</v>
      </c>
      <c r="E958" s="1945" t="s">
        <v>2637</v>
      </c>
      <c r="F958" s="1946">
        <v>10430</v>
      </c>
      <c r="G958" s="1946">
        <v>6060000</v>
      </c>
      <c r="H958" s="1944" t="s">
        <v>2388</v>
      </c>
      <c r="I958" s="1947" t="s">
        <v>2392</v>
      </c>
      <c r="J958" s="1953">
        <v>65860000</v>
      </c>
    </row>
    <row r="959" spans="1:10" ht="15">
      <c r="A959" s="1949" t="s">
        <v>2433</v>
      </c>
      <c r="B959" s="1943">
        <v>13</v>
      </c>
      <c r="C959" s="1945" t="s">
        <v>2434</v>
      </c>
      <c r="D959" s="1945" t="s">
        <v>2436</v>
      </c>
      <c r="E959" s="1945" t="s">
        <v>2637</v>
      </c>
      <c r="F959" s="1946">
        <v>10430</v>
      </c>
      <c r="G959" s="1946">
        <v>6060000</v>
      </c>
      <c r="H959" s="1944" t="s">
        <v>2388</v>
      </c>
      <c r="I959" s="1947" t="s">
        <v>2435</v>
      </c>
      <c r="J959" s="1953">
        <v>27870000</v>
      </c>
    </row>
    <row r="960" spans="1:10" ht="15">
      <c r="A960" s="1949" t="s">
        <v>2437</v>
      </c>
      <c r="B960" s="1943">
        <v>13</v>
      </c>
      <c r="C960" s="1945" t="s">
        <v>2438</v>
      </c>
      <c r="D960" s="1945" t="s">
        <v>2440</v>
      </c>
      <c r="E960" s="1945" t="s">
        <v>2637</v>
      </c>
      <c r="F960" s="1946">
        <v>10430</v>
      </c>
      <c r="G960" s="1946">
        <v>6060000</v>
      </c>
      <c r="H960" s="1944" t="s">
        <v>2388</v>
      </c>
      <c r="I960" s="1950" t="s">
        <v>2439</v>
      </c>
      <c r="J960" s="1953">
        <v>28170000</v>
      </c>
    </row>
    <row r="961" spans="1:10" ht="15">
      <c r="A961" s="1949" t="s">
        <v>2441</v>
      </c>
      <c r="B961" s="1943">
        <v>13</v>
      </c>
      <c r="C961" s="1945" t="s">
        <v>2442</v>
      </c>
      <c r="D961" s="1945" t="s">
        <v>2443</v>
      </c>
      <c r="E961" s="1945" t="s">
        <v>2637</v>
      </c>
      <c r="F961" s="1946">
        <v>10430</v>
      </c>
      <c r="G961" s="1946">
        <v>6060000</v>
      </c>
      <c r="H961" s="1944" t="s">
        <v>2388</v>
      </c>
      <c r="I961" s="1950" t="s">
        <v>2439</v>
      </c>
      <c r="J961" s="1953">
        <v>19930000</v>
      </c>
    </row>
    <row r="962" spans="1:10" ht="15">
      <c r="A962" s="1949" t="s">
        <v>2444</v>
      </c>
      <c r="B962" s="1943">
        <v>13</v>
      </c>
      <c r="C962" s="1945" t="s">
        <v>2445</v>
      </c>
      <c r="D962" s="1945" t="s">
        <v>2446</v>
      </c>
      <c r="E962" s="1945" t="s">
        <v>2637</v>
      </c>
      <c r="F962" s="1946">
        <v>10430</v>
      </c>
      <c r="G962" s="1946">
        <v>6060000</v>
      </c>
      <c r="H962" s="1944" t="s">
        <v>2388</v>
      </c>
      <c r="I962" s="1947" t="s">
        <v>2349</v>
      </c>
      <c r="J962" s="1953">
        <v>170020000</v>
      </c>
    </row>
    <row r="963" spans="1:10" ht="15">
      <c r="A963" s="1949" t="s">
        <v>2447</v>
      </c>
      <c r="B963" s="1943">
        <v>13</v>
      </c>
      <c r="C963" s="1945" t="s">
        <v>2448</v>
      </c>
      <c r="D963" s="1945" t="s">
        <v>2449</v>
      </c>
      <c r="E963" s="1945" t="s">
        <v>2637</v>
      </c>
      <c r="F963" s="1946">
        <v>10430</v>
      </c>
      <c r="G963" s="1946">
        <v>6060000</v>
      </c>
      <c r="H963" s="1944" t="s">
        <v>2388</v>
      </c>
      <c r="I963" s="1947" t="s">
        <v>2349</v>
      </c>
      <c r="J963" s="1953">
        <v>28850000</v>
      </c>
    </row>
    <row r="964" spans="1:10" ht="15">
      <c r="A964" s="1949" t="s">
        <v>2450</v>
      </c>
      <c r="B964" s="1943">
        <v>13</v>
      </c>
      <c r="C964" s="1945" t="s">
        <v>2451</v>
      </c>
      <c r="D964" s="1945" t="s">
        <v>2453</v>
      </c>
      <c r="E964" s="1945" t="s">
        <v>2637</v>
      </c>
      <c r="F964" s="1946">
        <v>10430</v>
      </c>
      <c r="G964" s="1946">
        <v>6060000</v>
      </c>
      <c r="H964" s="1944" t="s">
        <v>2388</v>
      </c>
      <c r="I964" s="1947" t="s">
        <v>2452</v>
      </c>
      <c r="J964" s="1953">
        <v>56480000</v>
      </c>
    </row>
    <row r="965" spans="1:10" ht="15">
      <c r="A965" s="1949" t="s">
        <v>2454</v>
      </c>
      <c r="B965" s="1943">
        <v>13</v>
      </c>
      <c r="C965" s="1945" t="s">
        <v>2455</v>
      </c>
      <c r="D965" s="1945" t="s">
        <v>2456</v>
      </c>
      <c r="E965" s="1945" t="s">
        <v>2637</v>
      </c>
      <c r="F965" s="1946">
        <v>10430</v>
      </c>
      <c r="G965" s="1946">
        <v>6060000</v>
      </c>
      <c r="H965" s="1944" t="s">
        <v>2388</v>
      </c>
      <c r="I965" s="1947" t="s">
        <v>2397</v>
      </c>
      <c r="J965" s="1953">
        <v>212980000</v>
      </c>
    </row>
    <row r="966" spans="1:10" ht="15">
      <c r="A966" s="1949" t="s">
        <v>2457</v>
      </c>
      <c r="B966" s="1943">
        <v>13</v>
      </c>
      <c r="C966" s="1945" t="s">
        <v>2458</v>
      </c>
      <c r="D966" s="1945" t="s">
        <v>2459</v>
      </c>
      <c r="E966" s="1945" t="s">
        <v>2637</v>
      </c>
      <c r="F966" s="1946">
        <v>10430</v>
      </c>
      <c r="G966" s="1946">
        <v>6060000</v>
      </c>
      <c r="H966" s="1944" t="s">
        <v>2388</v>
      </c>
      <c r="I966" s="1947" t="s">
        <v>2397</v>
      </c>
      <c r="J966" s="1953">
        <v>38980000</v>
      </c>
    </row>
    <row r="967" spans="1:10" ht="15">
      <c r="A967" s="1949" t="s">
        <v>2460</v>
      </c>
      <c r="B967" s="1943">
        <v>13</v>
      </c>
      <c r="C967" s="1945" t="s">
        <v>2461</v>
      </c>
      <c r="D967" s="1945" t="s">
        <v>2462</v>
      </c>
      <c r="E967" s="1945" t="s">
        <v>2637</v>
      </c>
      <c r="F967" s="1946">
        <v>10430</v>
      </c>
      <c r="G967" s="1946">
        <v>6060000</v>
      </c>
      <c r="H967" s="1944" t="s">
        <v>2388</v>
      </c>
      <c r="I967" s="1947" t="s">
        <v>2397</v>
      </c>
      <c r="J967" s="1953">
        <v>26320000</v>
      </c>
    </row>
    <row r="968" spans="1:10" ht="15">
      <c r="A968" s="1949" t="s">
        <v>2463</v>
      </c>
      <c r="B968" s="1943">
        <v>13</v>
      </c>
      <c r="C968" s="1945" t="s">
        <v>2464</v>
      </c>
      <c r="D968" s="1945" t="s">
        <v>2466</v>
      </c>
      <c r="E968" s="1945" t="s">
        <v>2637</v>
      </c>
      <c r="F968" s="1946">
        <v>10430</v>
      </c>
      <c r="G968" s="1946">
        <v>6060000</v>
      </c>
      <c r="H968" s="1944" t="s">
        <v>2388</v>
      </c>
      <c r="I968" s="1947" t="s">
        <v>2465</v>
      </c>
      <c r="J968" s="1953">
        <v>34770000</v>
      </c>
    </row>
    <row r="969" spans="1:10" ht="15">
      <c r="A969" s="1949" t="s">
        <v>2467</v>
      </c>
      <c r="B969" s="1943">
        <v>13</v>
      </c>
      <c r="C969" s="1945" t="s">
        <v>2468</v>
      </c>
      <c r="D969" s="1945" t="s">
        <v>2470</v>
      </c>
      <c r="E969" s="1945" t="s">
        <v>2637</v>
      </c>
      <c r="F969" s="1946">
        <v>10430</v>
      </c>
      <c r="G969" s="1946">
        <v>6060000</v>
      </c>
      <c r="H969" s="1944" t="s">
        <v>2388</v>
      </c>
      <c r="I969" s="1947" t="s">
        <v>2469</v>
      </c>
      <c r="J969" s="1953">
        <v>42790000</v>
      </c>
    </row>
    <row r="970" spans="1:10" ht="15">
      <c r="A970" s="1949" t="s">
        <v>2471</v>
      </c>
      <c r="B970" s="1943">
        <v>13</v>
      </c>
      <c r="C970" s="1945" t="s">
        <v>2472</v>
      </c>
      <c r="D970" s="1945" t="s">
        <v>2474</v>
      </c>
      <c r="E970" s="1945" t="s">
        <v>2637</v>
      </c>
      <c r="F970" s="1946">
        <v>10430</v>
      </c>
      <c r="G970" s="1946">
        <v>6060000</v>
      </c>
      <c r="H970" s="1944" t="s">
        <v>2388</v>
      </c>
      <c r="I970" s="1947" t="s">
        <v>2473</v>
      </c>
      <c r="J970" s="1953">
        <f>4250000+48100000</f>
        <v>52350000</v>
      </c>
    </row>
    <row r="971" spans="1:10" ht="15">
      <c r="A971" s="1949" t="s">
        <v>2475</v>
      </c>
      <c r="B971" s="1943">
        <v>13</v>
      </c>
      <c r="C971" s="1945" t="s">
        <v>2476</v>
      </c>
      <c r="D971" s="1945" t="s">
        <v>2477</v>
      </c>
      <c r="E971" s="1945" t="s">
        <v>2637</v>
      </c>
      <c r="F971" s="1946">
        <v>10430</v>
      </c>
      <c r="G971" s="1946">
        <v>6060000</v>
      </c>
      <c r="H971" s="1944" t="s">
        <v>2388</v>
      </c>
      <c r="I971" s="1947" t="s">
        <v>2473</v>
      </c>
      <c r="J971" s="1953">
        <v>34590000</v>
      </c>
    </row>
    <row r="972" spans="1:10" ht="15">
      <c r="A972" s="1949" t="s">
        <v>2478</v>
      </c>
      <c r="B972" s="1943">
        <v>13</v>
      </c>
      <c r="C972" s="1945" t="s">
        <v>2479</v>
      </c>
      <c r="D972" s="1945" t="s">
        <v>2480</v>
      </c>
      <c r="E972" s="1945" t="s">
        <v>2637</v>
      </c>
      <c r="F972" s="1946">
        <v>10430</v>
      </c>
      <c r="G972" s="1946">
        <v>6060000</v>
      </c>
      <c r="H972" s="1944" t="s">
        <v>2388</v>
      </c>
      <c r="I972" s="1947" t="s">
        <v>2325</v>
      </c>
      <c r="J972" s="1953">
        <v>127390000</v>
      </c>
    </row>
    <row r="973" spans="1:10" ht="15">
      <c r="A973" s="1949" t="s">
        <v>2481</v>
      </c>
      <c r="B973" s="1943">
        <v>13</v>
      </c>
      <c r="C973" s="1945" t="s">
        <v>2482</v>
      </c>
      <c r="D973" s="1945" t="s">
        <v>2483</v>
      </c>
      <c r="E973" s="1945" t="s">
        <v>2637</v>
      </c>
      <c r="F973" s="1946">
        <v>10430</v>
      </c>
      <c r="G973" s="1946">
        <v>6060000</v>
      </c>
      <c r="H973" s="1944" t="s">
        <v>2388</v>
      </c>
      <c r="I973" s="1947" t="s">
        <v>2325</v>
      </c>
      <c r="J973" s="1953">
        <v>26750000</v>
      </c>
    </row>
    <row r="974" spans="1:10" ht="15">
      <c r="A974" s="1949" t="s">
        <v>2484</v>
      </c>
      <c r="B974" s="1943">
        <v>13</v>
      </c>
      <c r="C974" s="1945" t="s">
        <v>2485</v>
      </c>
      <c r="D974" s="1945" t="s">
        <v>2486</v>
      </c>
      <c r="E974" s="1945" t="s">
        <v>2637</v>
      </c>
      <c r="F974" s="1946">
        <v>10430</v>
      </c>
      <c r="G974" s="1946">
        <v>6060000</v>
      </c>
      <c r="H974" s="1944" t="s">
        <v>2388</v>
      </c>
      <c r="I974" s="1947" t="s">
        <v>2325</v>
      </c>
      <c r="J974" s="1953">
        <v>21920000</v>
      </c>
    </row>
    <row r="975" spans="1:10" ht="15">
      <c r="A975" s="1949" t="s">
        <v>2487</v>
      </c>
      <c r="B975" s="1943">
        <v>13</v>
      </c>
      <c r="C975" s="1945" t="s">
        <v>2488</v>
      </c>
      <c r="D975" s="1945" t="s">
        <v>2490</v>
      </c>
      <c r="E975" s="1945" t="s">
        <v>2637</v>
      </c>
      <c r="F975" s="1946">
        <v>10430</v>
      </c>
      <c r="G975" s="1946">
        <v>6060000</v>
      </c>
      <c r="H975" s="1944" t="s">
        <v>2388</v>
      </c>
      <c r="I975" s="1947" t="s">
        <v>2489</v>
      </c>
      <c r="J975" s="1953">
        <v>86300000</v>
      </c>
    </row>
    <row r="976" spans="1:10" ht="15">
      <c r="A976" s="1949" t="s">
        <v>2491</v>
      </c>
      <c r="B976" s="1943">
        <v>13</v>
      </c>
      <c r="C976" s="1945" t="s">
        <v>2492</v>
      </c>
      <c r="D976" s="1945" t="s">
        <v>2493</v>
      </c>
      <c r="E976" s="1945" t="s">
        <v>2637</v>
      </c>
      <c r="F976" s="1946">
        <v>10430</v>
      </c>
      <c r="G976" s="1946">
        <v>6060000</v>
      </c>
      <c r="H976" s="1944" t="s">
        <v>2388</v>
      </c>
      <c r="I976" s="1947" t="s">
        <v>2489</v>
      </c>
      <c r="J976" s="1953">
        <v>31150000</v>
      </c>
    </row>
    <row r="977" spans="1:10" ht="15">
      <c r="A977" s="1949" t="s">
        <v>2494</v>
      </c>
      <c r="B977" s="1943">
        <v>13</v>
      </c>
      <c r="C977" s="1945" t="s">
        <v>2495</v>
      </c>
      <c r="D977" s="1945" t="s">
        <v>2497</v>
      </c>
      <c r="E977" s="1945" t="s">
        <v>2637</v>
      </c>
      <c r="F977" s="1946">
        <v>10430</v>
      </c>
      <c r="G977" s="1946">
        <v>6060000</v>
      </c>
      <c r="H977" s="1944" t="s">
        <v>2388</v>
      </c>
      <c r="I977" s="1947" t="s">
        <v>2496</v>
      </c>
      <c r="J977" s="1953">
        <v>27850000</v>
      </c>
    </row>
    <row r="978" spans="1:10" ht="15">
      <c r="A978" s="1949" t="s">
        <v>148</v>
      </c>
      <c r="B978" s="1943">
        <v>13</v>
      </c>
      <c r="C978" s="1945" t="s">
        <v>2498</v>
      </c>
      <c r="D978" s="1945" t="s">
        <v>2500</v>
      </c>
      <c r="E978" s="1945" t="s">
        <v>2637</v>
      </c>
      <c r="F978" s="1946">
        <v>10430</v>
      </c>
      <c r="G978" s="1946">
        <v>6060000</v>
      </c>
      <c r="H978" s="1944" t="s">
        <v>2388</v>
      </c>
      <c r="I978" s="1947" t="s">
        <v>2499</v>
      </c>
      <c r="J978" s="1953">
        <v>24600000</v>
      </c>
    </row>
    <row r="979" spans="1:10" ht="15">
      <c r="A979" s="1949" t="s">
        <v>2501</v>
      </c>
      <c r="B979" s="1943">
        <v>13</v>
      </c>
      <c r="C979" s="1945" t="s">
        <v>2502</v>
      </c>
      <c r="D979" s="1945" t="s">
        <v>2503</v>
      </c>
      <c r="E979" s="1945" t="s">
        <v>2637</v>
      </c>
      <c r="F979" s="1946">
        <v>10430</v>
      </c>
      <c r="G979" s="1946">
        <v>6060000</v>
      </c>
      <c r="H979" s="1944" t="s">
        <v>2388</v>
      </c>
      <c r="I979" s="1947" t="s">
        <v>2499</v>
      </c>
      <c r="J979" s="1953">
        <v>4110000</v>
      </c>
    </row>
    <row r="980" spans="1:10" ht="15">
      <c r="A980" s="1949" t="s">
        <v>2504</v>
      </c>
      <c r="B980" s="1943">
        <v>13</v>
      </c>
      <c r="C980" s="1945" t="s">
        <v>2505</v>
      </c>
      <c r="D980" s="1945" t="s">
        <v>2507</v>
      </c>
      <c r="E980" s="1945" t="s">
        <v>2637</v>
      </c>
      <c r="F980" s="1946">
        <v>10430</v>
      </c>
      <c r="G980" s="1946">
        <v>6060000</v>
      </c>
      <c r="H980" s="1944" t="s">
        <v>2388</v>
      </c>
      <c r="I980" s="1947" t="s">
        <v>2506</v>
      </c>
      <c r="J980" s="1953">
        <v>14310000</v>
      </c>
    </row>
    <row r="981" spans="1:10" ht="15">
      <c r="A981" s="1949" t="s">
        <v>2508</v>
      </c>
      <c r="B981" s="1943">
        <v>13</v>
      </c>
      <c r="C981" s="1945" t="s">
        <v>2509</v>
      </c>
      <c r="D981" s="1945" t="s">
        <v>2510</v>
      </c>
      <c r="E981" s="1945" t="s">
        <v>2637</v>
      </c>
      <c r="F981" s="1946">
        <v>10430</v>
      </c>
      <c r="G981" s="1946">
        <v>6060000</v>
      </c>
      <c r="H981" s="1944" t="s">
        <v>2388</v>
      </c>
      <c r="I981" s="1947" t="s">
        <v>2506</v>
      </c>
      <c r="J981" s="1953">
        <v>17080000</v>
      </c>
    </row>
    <row r="982" spans="1:10" ht="15">
      <c r="A982" s="1949" t="s">
        <v>2511</v>
      </c>
      <c r="B982" s="1943">
        <v>13</v>
      </c>
      <c r="C982" s="1945" t="s">
        <v>2512</v>
      </c>
      <c r="D982" s="1945" t="s">
        <v>2514</v>
      </c>
      <c r="E982" s="1945" t="s">
        <v>2637</v>
      </c>
      <c r="F982" s="1946">
        <v>10430</v>
      </c>
      <c r="G982" s="1946">
        <v>6060000</v>
      </c>
      <c r="H982" s="1944" t="s">
        <v>2388</v>
      </c>
      <c r="I982" s="1947" t="s">
        <v>2513</v>
      </c>
      <c r="J982" s="1953">
        <v>13390000</v>
      </c>
    </row>
    <row r="983" spans="1:10" ht="15">
      <c r="A983" s="1949" t="s">
        <v>2515</v>
      </c>
      <c r="B983" s="1943">
        <v>13</v>
      </c>
      <c r="C983" s="1945" t="s">
        <v>2516</v>
      </c>
      <c r="D983" s="1945" t="s">
        <v>2517</v>
      </c>
      <c r="E983" s="1945" t="s">
        <v>2637</v>
      </c>
      <c r="F983" s="1946">
        <v>10430</v>
      </c>
      <c r="G983" s="1946">
        <v>6060000</v>
      </c>
      <c r="H983" s="1944" t="s">
        <v>2388</v>
      </c>
      <c r="I983" s="1947" t="s">
        <v>2513</v>
      </c>
      <c r="J983" s="1953">
        <v>9590000</v>
      </c>
    </row>
    <row r="984" spans="1:10" ht="15">
      <c r="A984" s="1942" t="s">
        <v>2518</v>
      </c>
      <c r="B984" s="1943">
        <v>13</v>
      </c>
      <c r="C984" s="1944" t="s">
        <v>2519</v>
      </c>
      <c r="D984" s="1944" t="s">
        <v>2520</v>
      </c>
      <c r="E984" s="1945" t="s">
        <v>2637</v>
      </c>
      <c r="F984" s="1946">
        <v>10430</v>
      </c>
      <c r="G984" s="1946">
        <v>6060000</v>
      </c>
      <c r="H984" s="1944" t="s">
        <v>2388</v>
      </c>
      <c r="I984" s="1951" t="s">
        <v>2499</v>
      </c>
      <c r="J984" s="1953">
        <v>6060000</v>
      </c>
    </row>
    <row r="985" spans="1:10" ht="15">
      <c r="A985" s="1949" t="s">
        <v>2521</v>
      </c>
      <c r="B985" s="1943">
        <v>13</v>
      </c>
      <c r="C985" s="1945" t="s">
        <v>2522</v>
      </c>
      <c r="D985" s="1945" t="s">
        <v>2524</v>
      </c>
      <c r="E985" s="1945" t="s">
        <v>2637</v>
      </c>
      <c r="F985" s="1946">
        <v>10430</v>
      </c>
      <c r="G985" s="1946">
        <v>6060000</v>
      </c>
      <c r="H985" s="1944" t="s">
        <v>2388</v>
      </c>
      <c r="I985" s="1947" t="s">
        <v>2523</v>
      </c>
      <c r="J985" s="1953">
        <v>85780000</v>
      </c>
    </row>
    <row r="986" spans="1:10" ht="15">
      <c r="A986" s="1949" t="s">
        <v>2525</v>
      </c>
      <c r="B986" s="1943">
        <v>13</v>
      </c>
      <c r="C986" s="1945" t="s">
        <v>2526</v>
      </c>
      <c r="D986" s="1945" t="s">
        <v>2527</v>
      </c>
      <c r="E986" s="1945" t="s">
        <v>2637</v>
      </c>
      <c r="F986" s="1946">
        <v>10430</v>
      </c>
      <c r="G986" s="1946">
        <v>6060000</v>
      </c>
      <c r="H986" s="1944" t="s">
        <v>2388</v>
      </c>
      <c r="I986" s="1947" t="s">
        <v>2523</v>
      </c>
      <c r="J986" s="1953">
        <v>40420000</v>
      </c>
    </row>
    <row r="987" spans="1:10" ht="15">
      <c r="A987" s="1942" t="s">
        <v>2528</v>
      </c>
      <c r="B987" s="1943">
        <v>13</v>
      </c>
      <c r="C987" s="1944" t="s">
        <v>2529</v>
      </c>
      <c r="D987" s="1944" t="s">
        <v>2530</v>
      </c>
      <c r="E987" s="1945" t="s">
        <v>2637</v>
      </c>
      <c r="F987" s="1946">
        <v>10430</v>
      </c>
      <c r="G987" s="1946">
        <v>6060000</v>
      </c>
      <c r="H987" s="1944" t="s">
        <v>2388</v>
      </c>
      <c r="I987" s="1951" t="s">
        <v>2523</v>
      </c>
      <c r="J987" s="1953">
        <v>1460000</v>
      </c>
    </row>
    <row r="988" spans="1:10" ht="15">
      <c r="A988" s="1949" t="s">
        <v>2531</v>
      </c>
      <c r="B988" s="1943">
        <v>13</v>
      </c>
      <c r="C988" s="1945" t="s">
        <v>2532</v>
      </c>
      <c r="D988" s="1945" t="s">
        <v>2534</v>
      </c>
      <c r="E988" s="1945" t="s">
        <v>2637</v>
      </c>
      <c r="F988" s="1946">
        <v>10430</v>
      </c>
      <c r="G988" s="1946">
        <v>6060000</v>
      </c>
      <c r="H988" s="1944" t="s">
        <v>2388</v>
      </c>
      <c r="I988" s="1947" t="s">
        <v>2533</v>
      </c>
      <c r="J988" s="1953">
        <v>15140000</v>
      </c>
    </row>
    <row r="989" spans="1:10" ht="15">
      <c r="A989" s="1949" t="s">
        <v>2535</v>
      </c>
      <c r="B989" s="1943">
        <v>13</v>
      </c>
      <c r="C989" s="1945" t="s">
        <v>2536</v>
      </c>
      <c r="D989" s="1945" t="s">
        <v>2538</v>
      </c>
      <c r="E989" s="1945" t="s">
        <v>2637</v>
      </c>
      <c r="F989" s="1946">
        <v>10430</v>
      </c>
      <c r="G989" s="1946">
        <v>6060000</v>
      </c>
      <c r="H989" s="1944" t="s">
        <v>2388</v>
      </c>
      <c r="I989" s="1947" t="s">
        <v>2537</v>
      </c>
      <c r="J989" s="1953">
        <v>23490000</v>
      </c>
    </row>
    <row r="990" spans="1:10" ht="15">
      <c r="A990" s="1949" t="s">
        <v>2539</v>
      </c>
      <c r="B990" s="1943">
        <v>13</v>
      </c>
      <c r="C990" s="1945" t="s">
        <v>2540</v>
      </c>
      <c r="D990" s="1945" t="s">
        <v>2542</v>
      </c>
      <c r="E990" s="1945" t="s">
        <v>2637</v>
      </c>
      <c r="F990" s="1946">
        <v>10430</v>
      </c>
      <c r="G990" s="1946">
        <v>6060000</v>
      </c>
      <c r="H990" s="1944" t="s">
        <v>2388</v>
      </c>
      <c r="I990" s="1947" t="s">
        <v>2541</v>
      </c>
      <c r="J990" s="1953">
        <v>86170000</v>
      </c>
    </row>
    <row r="991" spans="1:10" ht="15">
      <c r="A991" s="1949" t="s">
        <v>2701</v>
      </c>
      <c r="B991" s="1943">
        <v>13</v>
      </c>
      <c r="C991" s="1945" t="s">
        <v>2543</v>
      </c>
      <c r="D991" s="1945" t="s">
        <v>2545</v>
      </c>
      <c r="E991" s="1945" t="s">
        <v>2637</v>
      </c>
      <c r="F991" s="1946">
        <v>10430</v>
      </c>
      <c r="G991" s="1946">
        <v>6060000</v>
      </c>
      <c r="H991" s="1944" t="s">
        <v>2388</v>
      </c>
      <c r="I991" s="1947" t="s">
        <v>2544</v>
      </c>
      <c r="J991" s="1953">
        <v>49910000</v>
      </c>
    </row>
    <row r="992" spans="1:10" ht="15">
      <c r="A992" s="1949" t="s">
        <v>2546</v>
      </c>
      <c r="B992" s="1943">
        <v>13</v>
      </c>
      <c r="C992" s="1945" t="s">
        <v>2547</v>
      </c>
      <c r="D992" s="1945" t="s">
        <v>2549</v>
      </c>
      <c r="E992" s="1945" t="s">
        <v>2637</v>
      </c>
      <c r="F992" s="1946">
        <v>10430</v>
      </c>
      <c r="G992" s="1946">
        <v>6060000</v>
      </c>
      <c r="H992" s="1944" t="s">
        <v>2388</v>
      </c>
      <c r="I992" s="1947" t="s">
        <v>2548</v>
      </c>
      <c r="J992" s="1953">
        <v>16740000</v>
      </c>
    </row>
    <row r="993" spans="1:10" ht="15">
      <c r="A993" s="1949" t="s">
        <v>2550</v>
      </c>
      <c r="B993" s="1943">
        <v>13</v>
      </c>
      <c r="C993" s="1945" t="s">
        <v>2551</v>
      </c>
      <c r="D993" s="1945" t="s">
        <v>2553</v>
      </c>
      <c r="E993" s="1945" t="s">
        <v>2637</v>
      </c>
      <c r="F993" s="1946">
        <v>10430</v>
      </c>
      <c r="G993" s="1946">
        <v>6060000</v>
      </c>
      <c r="H993" s="1944" t="s">
        <v>2388</v>
      </c>
      <c r="I993" s="1947" t="s">
        <v>2552</v>
      </c>
      <c r="J993" s="1953">
        <v>31610000</v>
      </c>
    </row>
    <row r="994" spans="1:10" ht="15">
      <c r="A994" s="1949" t="s">
        <v>2554</v>
      </c>
      <c r="B994" s="1943">
        <v>13</v>
      </c>
      <c r="C994" s="1945" t="s">
        <v>2555</v>
      </c>
      <c r="D994" s="1945" t="s">
        <v>2557</v>
      </c>
      <c r="E994" s="1945" t="s">
        <v>2637</v>
      </c>
      <c r="F994" s="1946">
        <v>10430</v>
      </c>
      <c r="G994" s="1946">
        <v>6060000</v>
      </c>
      <c r="H994" s="1944" t="s">
        <v>2388</v>
      </c>
      <c r="I994" s="1947" t="s">
        <v>2556</v>
      </c>
      <c r="J994" s="1953">
        <v>80230000</v>
      </c>
    </row>
    <row r="995" spans="1:10" ht="15">
      <c r="A995" s="1949" t="s">
        <v>2558</v>
      </c>
      <c r="B995" s="1943">
        <v>13</v>
      </c>
      <c r="C995" s="1945" t="s">
        <v>2559</v>
      </c>
      <c r="D995" s="1945" t="s">
        <v>2561</v>
      </c>
      <c r="E995" s="1945" t="s">
        <v>2637</v>
      </c>
      <c r="F995" s="1946">
        <v>10430</v>
      </c>
      <c r="G995" s="1946">
        <v>6060000</v>
      </c>
      <c r="H995" s="1944" t="s">
        <v>2388</v>
      </c>
      <c r="I995" s="1947" t="s">
        <v>2560</v>
      </c>
      <c r="J995" s="1953">
        <v>32190000</v>
      </c>
    </row>
    <row r="996" spans="1:10" ht="15">
      <c r="A996" s="1949" t="s">
        <v>2562</v>
      </c>
      <c r="B996" s="1943">
        <v>13</v>
      </c>
      <c r="C996" s="1945" t="s">
        <v>2563</v>
      </c>
      <c r="D996" s="1945" t="s">
        <v>2565</v>
      </c>
      <c r="E996" s="1945" t="s">
        <v>2637</v>
      </c>
      <c r="F996" s="1946">
        <v>10430</v>
      </c>
      <c r="G996" s="1946">
        <v>6060000</v>
      </c>
      <c r="H996" s="1944" t="s">
        <v>2388</v>
      </c>
      <c r="I996" s="1947" t="s">
        <v>2564</v>
      </c>
      <c r="J996" s="1953">
        <v>60830000</v>
      </c>
    </row>
    <row r="997" spans="1:10" ht="15">
      <c r="A997" s="1949" t="s">
        <v>2566</v>
      </c>
      <c r="B997" s="1943">
        <v>13</v>
      </c>
      <c r="C997" s="1945" t="s">
        <v>2567</v>
      </c>
      <c r="D997" s="1945" t="s">
        <v>2569</v>
      </c>
      <c r="E997" s="1945" t="s">
        <v>2637</v>
      </c>
      <c r="F997" s="1946">
        <v>10430</v>
      </c>
      <c r="G997" s="1946">
        <v>6060000</v>
      </c>
      <c r="H997" s="1944" t="s">
        <v>2388</v>
      </c>
      <c r="I997" s="1947" t="s">
        <v>2568</v>
      </c>
      <c r="J997" s="1953">
        <v>31360000</v>
      </c>
    </row>
    <row r="998" spans="1:10" ht="15">
      <c r="A998" s="1949" t="s">
        <v>2570</v>
      </c>
      <c r="B998" s="1943">
        <v>13</v>
      </c>
      <c r="C998" s="1945" t="s">
        <v>2571</v>
      </c>
      <c r="D998" s="1945" t="s">
        <v>2573</v>
      </c>
      <c r="E998" s="1945" t="s">
        <v>2637</v>
      </c>
      <c r="F998" s="1946">
        <v>10430</v>
      </c>
      <c r="G998" s="1946">
        <v>6060000</v>
      </c>
      <c r="H998" s="1944" t="s">
        <v>2388</v>
      </c>
      <c r="I998" s="1947" t="s">
        <v>2572</v>
      </c>
      <c r="J998" s="1953">
        <v>129740000</v>
      </c>
    </row>
    <row r="999" spans="1:10" ht="15">
      <c r="A999" s="1949" t="s">
        <v>2574</v>
      </c>
      <c r="B999" s="1943">
        <v>13</v>
      </c>
      <c r="C999" s="1945" t="s">
        <v>2575</v>
      </c>
      <c r="D999" s="1945" t="s">
        <v>2576</v>
      </c>
      <c r="E999" s="1945" t="s">
        <v>2637</v>
      </c>
      <c r="F999" s="1946">
        <v>10430</v>
      </c>
      <c r="G999" s="1946">
        <v>6060000</v>
      </c>
      <c r="H999" s="1944" t="s">
        <v>2388</v>
      </c>
      <c r="I999" s="1947" t="s">
        <v>2572</v>
      </c>
      <c r="J999" s="1953">
        <v>30080000</v>
      </c>
    </row>
    <row r="1000" spans="1:10" ht="15">
      <c r="A1000" s="1949" t="s">
        <v>2577</v>
      </c>
      <c r="B1000" s="1943">
        <v>13</v>
      </c>
      <c r="C1000" s="1945" t="s">
        <v>2578</v>
      </c>
      <c r="D1000" s="1945" t="s">
        <v>2580</v>
      </c>
      <c r="E1000" s="1945" t="s">
        <v>2637</v>
      </c>
      <c r="F1000" s="1946">
        <v>10430</v>
      </c>
      <c r="G1000" s="1946">
        <v>6060000</v>
      </c>
      <c r="H1000" s="1944" t="s">
        <v>2388</v>
      </c>
      <c r="I1000" s="1947" t="s">
        <v>2579</v>
      </c>
      <c r="J1000" s="1953">
        <v>12170000</v>
      </c>
    </row>
    <row r="1001" spans="1:10" ht="15">
      <c r="A1001" s="1949" t="s">
        <v>2581</v>
      </c>
      <c r="B1001" s="1943">
        <v>13</v>
      </c>
      <c r="C1001" s="1945" t="s">
        <v>2582</v>
      </c>
      <c r="D1001" s="1945" t="s">
        <v>2583</v>
      </c>
      <c r="E1001" s="1945" t="s">
        <v>2637</v>
      </c>
      <c r="F1001" s="1946">
        <v>10430</v>
      </c>
      <c r="G1001" s="1946">
        <v>6060000</v>
      </c>
      <c r="H1001" s="1944" t="s">
        <v>2388</v>
      </c>
      <c r="I1001" s="1947" t="s">
        <v>2579</v>
      </c>
      <c r="J1001" s="1953">
        <v>10170000</v>
      </c>
    </row>
    <row r="1002" spans="1:10" ht="15">
      <c r="A1002" s="1949" t="s">
        <v>2584</v>
      </c>
      <c r="B1002" s="1943">
        <v>13</v>
      </c>
      <c r="C1002" s="1945" t="s">
        <v>2585</v>
      </c>
      <c r="D1002" s="1945" t="s">
        <v>2586</v>
      </c>
      <c r="E1002" s="1945" t="s">
        <v>2637</v>
      </c>
      <c r="F1002" s="1946">
        <v>10430</v>
      </c>
      <c r="G1002" s="1946">
        <v>6060000</v>
      </c>
      <c r="H1002" s="1944" t="s">
        <v>2388</v>
      </c>
      <c r="I1002" s="1947" t="s">
        <v>2372</v>
      </c>
      <c r="J1002" s="1953">
        <v>379350000</v>
      </c>
    </row>
    <row r="1003" spans="1:10" ht="15">
      <c r="A1003" s="1949" t="s">
        <v>2587</v>
      </c>
      <c r="B1003" s="1943">
        <v>13</v>
      </c>
      <c r="C1003" s="1945" t="s">
        <v>2588</v>
      </c>
      <c r="D1003" s="1945" t="s">
        <v>2589</v>
      </c>
      <c r="E1003" s="1945" t="s">
        <v>2637</v>
      </c>
      <c r="F1003" s="1946">
        <v>10430</v>
      </c>
      <c r="G1003" s="1946">
        <v>6060000</v>
      </c>
      <c r="H1003" s="1944" t="s">
        <v>2388</v>
      </c>
      <c r="I1003" s="1947" t="s">
        <v>2372</v>
      </c>
      <c r="J1003" s="1953">
        <v>72230000</v>
      </c>
    </row>
    <row r="1004" spans="1:10" ht="15">
      <c r="A1004" s="1949" t="s">
        <v>2590</v>
      </c>
      <c r="B1004" s="1943">
        <v>13</v>
      </c>
      <c r="C1004" s="1945" t="s">
        <v>2591</v>
      </c>
      <c r="D1004" s="1945" t="s">
        <v>2592</v>
      </c>
      <c r="E1004" s="1945" t="s">
        <v>2637</v>
      </c>
      <c r="F1004" s="1946">
        <v>10430</v>
      </c>
      <c r="G1004" s="1946">
        <v>6060000</v>
      </c>
      <c r="H1004" s="1944" t="s">
        <v>2388</v>
      </c>
      <c r="I1004" s="1947" t="s">
        <v>2372</v>
      </c>
      <c r="J1004" s="1953">
        <v>18730000</v>
      </c>
    </row>
    <row r="1005" spans="1:10" ht="15">
      <c r="A1005" s="1949" t="s">
        <v>2593</v>
      </c>
      <c r="B1005" s="1943">
        <v>13</v>
      </c>
      <c r="C1005" s="1945" t="s">
        <v>2594</v>
      </c>
      <c r="D1005" s="1945" t="s">
        <v>2596</v>
      </c>
      <c r="E1005" s="1945" t="s">
        <v>2637</v>
      </c>
      <c r="F1005" s="1946">
        <v>10430</v>
      </c>
      <c r="G1005" s="1946">
        <v>6060000</v>
      </c>
      <c r="H1005" s="1944" t="s">
        <v>2388</v>
      </c>
      <c r="I1005" s="1947" t="s">
        <v>2595</v>
      </c>
      <c r="J1005" s="1953">
        <v>38770000</v>
      </c>
    </row>
    <row r="1006" spans="1:10" ht="15">
      <c r="A1006" s="1949" t="s">
        <v>2597</v>
      </c>
      <c r="B1006" s="1943">
        <v>13</v>
      </c>
      <c r="C1006" s="1945" t="s">
        <v>2598</v>
      </c>
      <c r="D1006" s="1945" t="s">
        <v>2599</v>
      </c>
      <c r="E1006" s="1945" t="s">
        <v>2637</v>
      </c>
      <c r="F1006" s="1946">
        <v>10430</v>
      </c>
      <c r="G1006" s="1946">
        <v>6060000</v>
      </c>
      <c r="H1006" s="1944" t="s">
        <v>2388</v>
      </c>
      <c r="I1006" s="1947" t="s">
        <v>2595</v>
      </c>
      <c r="J1006" s="1953">
        <v>18080000</v>
      </c>
    </row>
    <row r="1007" spans="1:10" ht="15">
      <c r="A1007" s="1949" t="s">
        <v>2600</v>
      </c>
      <c r="B1007" s="1943">
        <v>13</v>
      </c>
      <c r="C1007" s="1945" t="s">
        <v>2601</v>
      </c>
      <c r="D1007" s="1945" t="s">
        <v>2602</v>
      </c>
      <c r="E1007" s="1945" t="s">
        <v>2637</v>
      </c>
      <c r="F1007" s="1946">
        <v>10430</v>
      </c>
      <c r="G1007" s="1946">
        <v>6060000</v>
      </c>
      <c r="H1007" s="1944" t="s">
        <v>2388</v>
      </c>
      <c r="I1007" s="1947" t="s">
        <v>2336</v>
      </c>
      <c r="J1007" s="1953">
        <v>101550000</v>
      </c>
    </row>
    <row r="1008" spans="1:10" ht="15">
      <c r="A1008" s="1949" t="s">
        <v>2603</v>
      </c>
      <c r="B1008" s="1943">
        <v>13</v>
      </c>
      <c r="C1008" s="1945" t="s">
        <v>2604</v>
      </c>
      <c r="D1008" s="1945" t="s">
        <v>2605</v>
      </c>
      <c r="E1008" s="1945" t="s">
        <v>2637</v>
      </c>
      <c r="F1008" s="1946">
        <v>10430</v>
      </c>
      <c r="G1008" s="1946">
        <v>6060000</v>
      </c>
      <c r="H1008" s="1944" t="s">
        <v>2388</v>
      </c>
      <c r="I1008" s="1947" t="s">
        <v>2336</v>
      </c>
      <c r="J1008" s="1953">
        <v>20000000</v>
      </c>
    </row>
    <row r="1009" spans="1:10" ht="15">
      <c r="A1009" s="1949" t="s">
        <v>2606</v>
      </c>
      <c r="B1009" s="1943">
        <v>13</v>
      </c>
      <c r="C1009" s="1945" t="s">
        <v>2607</v>
      </c>
      <c r="D1009" s="1945" t="s">
        <v>2608</v>
      </c>
      <c r="E1009" s="1945" t="s">
        <v>2637</v>
      </c>
      <c r="F1009" s="1946">
        <v>10430</v>
      </c>
      <c r="G1009" s="1946">
        <v>6060000</v>
      </c>
      <c r="H1009" s="1944" t="s">
        <v>2388</v>
      </c>
      <c r="I1009" s="1947" t="s">
        <v>2336</v>
      </c>
      <c r="J1009" s="1953">
        <v>9100000</v>
      </c>
    </row>
    <row r="1010" spans="1:10" ht="15">
      <c r="A1010" s="1949" t="s">
        <v>2609</v>
      </c>
      <c r="B1010" s="1943">
        <v>13</v>
      </c>
      <c r="C1010" s="1945" t="s">
        <v>2610</v>
      </c>
      <c r="D1010" s="1945" t="s">
        <v>2612</v>
      </c>
      <c r="E1010" s="1945" t="s">
        <v>2637</v>
      </c>
      <c r="F1010" s="1946">
        <v>10430</v>
      </c>
      <c r="G1010" s="1946">
        <v>6060000</v>
      </c>
      <c r="H1010" s="1944" t="s">
        <v>2388</v>
      </c>
      <c r="I1010" s="1947" t="s">
        <v>2611</v>
      </c>
      <c r="J1010" s="1953">
        <v>31690000</v>
      </c>
    </row>
    <row r="1011" spans="1:10" ht="15">
      <c r="A1011" s="1949" t="s">
        <v>2613</v>
      </c>
      <c r="B1011" s="1943">
        <v>13</v>
      </c>
      <c r="C1011" s="1945" t="s">
        <v>2614</v>
      </c>
      <c r="D1011" s="1945" t="s">
        <v>2615</v>
      </c>
      <c r="E1011" s="1945" t="s">
        <v>2637</v>
      </c>
      <c r="F1011" s="1946">
        <v>10430</v>
      </c>
      <c r="G1011" s="1946">
        <v>6060000</v>
      </c>
      <c r="H1011" s="1944" t="s">
        <v>2388</v>
      </c>
      <c r="I1011" s="1947" t="s">
        <v>2611</v>
      </c>
      <c r="J1011" s="1953">
        <v>7300000</v>
      </c>
    </row>
    <row r="1012" spans="1:10" ht="15">
      <c r="A1012" s="1942" t="s">
        <v>2616</v>
      </c>
      <c r="B1012" s="1943">
        <v>13</v>
      </c>
      <c r="C1012" s="1944" t="s">
        <v>2617</v>
      </c>
      <c r="D1012" s="1944" t="s">
        <v>2619</v>
      </c>
      <c r="E1012" s="1945" t="s">
        <v>2637</v>
      </c>
      <c r="F1012" s="1946">
        <v>10430</v>
      </c>
      <c r="G1012" s="1946">
        <v>6060000</v>
      </c>
      <c r="H1012" s="1944" t="s">
        <v>2388</v>
      </c>
      <c r="I1012" s="1951" t="s">
        <v>2618</v>
      </c>
      <c r="J1012" s="1953">
        <v>16270000</v>
      </c>
    </row>
    <row r="1013" spans="1:10" ht="15.75" thickBot="1">
      <c r="A1013" s="1954" t="s">
        <v>2620</v>
      </c>
      <c r="B1013" s="1943">
        <v>13</v>
      </c>
      <c r="C1013" s="1955" t="s">
        <v>2621</v>
      </c>
      <c r="D1013" s="1955" t="s">
        <v>2622</v>
      </c>
      <c r="E1013" s="1955" t="s">
        <v>2637</v>
      </c>
      <c r="F1013" s="1956">
        <v>10430</v>
      </c>
      <c r="G1013" s="1956">
        <v>6060000</v>
      </c>
      <c r="H1013" s="1957" t="s">
        <v>2388</v>
      </c>
      <c r="I1013" s="1958" t="s">
        <v>2618</v>
      </c>
      <c r="J1013" s="1959">
        <v>11430000</v>
      </c>
    </row>
    <row r="1014" spans="1:10" ht="15.75" thickBot="1">
      <c r="A1014" s="1960"/>
      <c r="B1014" s="1961"/>
      <c r="C1014" s="1962"/>
      <c r="D1014" s="1963"/>
      <c r="E1014" s="1964"/>
      <c r="F1014" s="1961" t="s">
        <v>2688</v>
      </c>
      <c r="G1014" s="1961"/>
      <c r="H1014" s="1962"/>
      <c r="I1014" s="1965"/>
      <c r="J1014" s="1966">
        <f>SUM(J1015:J1016)</f>
        <v>3570580000</v>
      </c>
    </row>
    <row r="1015" spans="1:10" ht="15.75" thickBot="1">
      <c r="A1015" s="1967" t="s">
        <v>2316</v>
      </c>
      <c r="B1015" s="1968">
        <v>13</v>
      </c>
      <c r="C1015" s="1968" t="s">
        <v>2384</v>
      </c>
      <c r="D1015" s="1969" t="s">
        <v>2689</v>
      </c>
      <c r="E1015" s="1968" t="s">
        <v>2637</v>
      </c>
      <c r="F1015" s="1970">
        <v>10430</v>
      </c>
      <c r="G1015" s="1971">
        <v>6060000</v>
      </c>
      <c r="H1015" s="1972" t="s">
        <v>2387</v>
      </c>
      <c r="I1015" s="1973">
        <v>3535</v>
      </c>
      <c r="J1015" s="1974">
        <f>SUM(J892:J952)</f>
        <v>713730000</v>
      </c>
    </row>
    <row r="1016" spans="1:10" ht="15.75" thickBot="1">
      <c r="A1016" s="1975" t="s">
        <v>2316</v>
      </c>
      <c r="B1016" s="1976">
        <v>13</v>
      </c>
      <c r="C1016" s="1976" t="s">
        <v>2384</v>
      </c>
      <c r="D1016" s="1977" t="s">
        <v>2689</v>
      </c>
      <c r="E1016" s="1976" t="s">
        <v>2637</v>
      </c>
      <c r="F1016" s="1978">
        <v>10430</v>
      </c>
      <c r="G1016" s="1979">
        <v>6060000</v>
      </c>
      <c r="H1016" s="1980" t="s">
        <v>2388</v>
      </c>
      <c r="I1016" s="1981">
        <v>3535</v>
      </c>
      <c r="J1016" s="1982">
        <f>SUM(J953:J1013)</f>
        <v>2856850000</v>
      </c>
    </row>
    <row r="1017" spans="1:10" ht="15">
      <c r="A1017" s="1983"/>
      <c r="B1017" s="1984"/>
      <c r="C1017" s="1984"/>
      <c r="D1017" s="1985"/>
      <c r="E1017" s="1984"/>
      <c r="F1017" s="1986"/>
      <c r="G1017" s="1987"/>
      <c r="H1017" s="1988"/>
      <c r="I1017" s="1984"/>
      <c r="J1017" s="1989"/>
    </row>
    <row r="1018" spans="1:10" ht="15">
      <c r="A1018" s="1983"/>
      <c r="B1018" s="1984"/>
      <c r="C1018" s="1984"/>
      <c r="D1018" s="1985"/>
      <c r="E1018" s="1984"/>
      <c r="F1018" s="1986"/>
      <c r="G1018" s="1987"/>
      <c r="H1018" s="1988"/>
      <c r="I1018" s="1984"/>
      <c r="J1018" s="1989"/>
    </row>
    <row r="1019" spans="1:10" ht="15">
      <c r="A1019" s="1983"/>
      <c r="B1019" s="1984"/>
      <c r="C1019" s="1984"/>
      <c r="D1019" s="1985"/>
      <c r="E1019" s="1984"/>
      <c r="F1019" s="1986"/>
      <c r="G1019" s="1987"/>
      <c r="H1019" s="1988"/>
      <c r="I1019" s="1984"/>
      <c r="J1019" s="1989"/>
    </row>
    <row r="1020" spans="1:10" ht="15">
      <c r="A1020" s="1983"/>
      <c r="B1020" s="1984"/>
      <c r="C1020" s="1984"/>
      <c r="D1020" s="1985"/>
      <c r="E1020" s="1984"/>
      <c r="F1020" s="1986"/>
      <c r="G1020" s="1987"/>
      <c r="H1020" s="1988"/>
      <c r="I1020" s="1984"/>
      <c r="J1020" s="1989"/>
    </row>
    <row r="1021" spans="1:10" ht="15">
      <c r="A1021" s="1983"/>
      <c r="B1021" s="1984"/>
      <c r="C1021" s="1984"/>
      <c r="D1021" s="1985"/>
      <c r="E1021" s="1984"/>
      <c r="F1021" s="1986"/>
      <c r="G1021" s="2872" t="s">
        <v>2707</v>
      </c>
      <c r="H1021" s="2872"/>
      <c r="I1021" s="2872"/>
      <c r="J1021" s="1989"/>
    </row>
    <row r="1022" spans="1:10" ht="15">
      <c r="A1022" s="1983"/>
      <c r="B1022" s="1984"/>
      <c r="C1022" s="1984"/>
      <c r="D1022" s="1985"/>
      <c r="E1022" s="1984"/>
      <c r="F1022" s="1986"/>
      <c r="G1022" s="1990"/>
      <c r="H1022" s="1990"/>
      <c r="I1022" s="1990"/>
      <c r="J1022" s="1989"/>
    </row>
    <row r="1023" spans="1:10" ht="15">
      <c r="A1023" s="1920"/>
      <c r="B1023" s="1920"/>
      <c r="C1023" s="1920"/>
      <c r="D1023" s="1920"/>
      <c r="E1023" s="1920"/>
      <c r="F1023" s="1920"/>
      <c r="G1023" s="2872" t="s">
        <v>2708</v>
      </c>
      <c r="H1023" s="2872"/>
      <c r="I1023" s="2872"/>
      <c r="J1023" s="1922"/>
    </row>
    <row r="1024" spans="1:10" ht="15">
      <c r="A1024" s="1920"/>
      <c r="B1024" s="1920"/>
      <c r="C1024" s="1920"/>
      <c r="D1024" s="1920"/>
      <c r="E1024" s="1920"/>
      <c r="F1024" s="1920"/>
      <c r="G1024" s="1991"/>
      <c r="H1024" s="1992"/>
      <c r="I1024" s="1993"/>
      <c r="J1024" s="1922"/>
    </row>
    <row r="1025" spans="1:10" ht="15">
      <c r="A1025" s="1920"/>
      <c r="B1025" s="1920"/>
      <c r="C1025" s="1920"/>
      <c r="D1025" s="1920"/>
      <c r="E1025" s="1920"/>
      <c r="F1025" s="1920"/>
      <c r="G1025" s="1991"/>
      <c r="H1025" s="1992"/>
      <c r="I1025" s="1993"/>
      <c r="J1025" s="1922"/>
    </row>
    <row r="1026" spans="1:10" ht="15">
      <c r="A1026" s="1920"/>
      <c r="B1026" s="1920"/>
      <c r="C1026" s="1920" t="s">
        <v>2709</v>
      </c>
      <c r="D1026" s="1920"/>
      <c r="E1026" s="1920"/>
      <c r="F1026" s="1920"/>
      <c r="G1026" s="1920"/>
      <c r="H1026" s="1920"/>
      <c r="I1026" s="1920"/>
      <c r="J1026" s="1922"/>
    </row>
    <row r="1027" spans="1:10" ht="15.75" thickBot="1">
      <c r="A1027" s="1994"/>
      <c r="B1027" s="1994"/>
      <c r="C1027" s="1994"/>
      <c r="D1027" s="1994"/>
      <c r="E1027" s="1994"/>
      <c r="F1027" s="1994"/>
      <c r="G1027" s="1994"/>
      <c r="H1027" s="1994"/>
      <c r="I1027" s="1994"/>
      <c r="J1027" s="1922"/>
    </row>
    <row r="1028" spans="1:10" ht="45">
      <c r="A1028" s="1995" t="s">
        <v>2696</v>
      </c>
      <c r="B1028" s="1996" t="s">
        <v>2303</v>
      </c>
      <c r="C1028" s="1996" t="s">
        <v>2304</v>
      </c>
      <c r="D1028" s="1996" t="s">
        <v>2305</v>
      </c>
      <c r="E1028" s="1996" t="s">
        <v>2699</v>
      </c>
      <c r="F1028" s="1997" t="s">
        <v>2306</v>
      </c>
      <c r="G1028" s="1996" t="s">
        <v>2307</v>
      </c>
      <c r="H1028" s="1996" t="s">
        <v>87</v>
      </c>
      <c r="I1028" s="1998" t="s">
        <v>2703</v>
      </c>
      <c r="J1028" s="1999" t="s">
        <v>2314</v>
      </c>
    </row>
    <row r="1029" spans="1:10" ht="15">
      <c r="A1029" s="2000"/>
      <c r="B1029" s="2001"/>
      <c r="C1029" s="2001"/>
      <c r="D1029" s="2001"/>
      <c r="E1029" s="2001"/>
      <c r="F1029" s="2001" t="s">
        <v>2636</v>
      </c>
      <c r="G1029" s="2001"/>
      <c r="H1029" s="2001"/>
      <c r="I1029" s="2002"/>
      <c r="J1029" s="2003">
        <f>SUM(J1030:J1090)</f>
        <v>3570580000</v>
      </c>
    </row>
    <row r="1030" spans="1:10" ht="15">
      <c r="A1030" s="1949" t="s">
        <v>2710</v>
      </c>
      <c r="B1030" s="1945" t="s">
        <v>2417</v>
      </c>
      <c r="C1030" s="1943">
        <v>13</v>
      </c>
      <c r="D1030" s="1945" t="s">
        <v>2418</v>
      </c>
      <c r="E1030" s="1945" t="s">
        <v>2419</v>
      </c>
      <c r="F1030" s="1945" t="s">
        <v>2637</v>
      </c>
      <c r="G1030" s="1946">
        <v>10430</v>
      </c>
      <c r="H1030" s="1946">
        <v>6029999</v>
      </c>
      <c r="I1030" s="1947" t="s">
        <v>2361</v>
      </c>
      <c r="J1030" s="2004">
        <f>J892+J953</f>
        <v>66290000</v>
      </c>
    </row>
    <row r="1031" spans="1:10" ht="15">
      <c r="A1031" s="1949" t="s">
        <v>2710</v>
      </c>
      <c r="B1031" s="1944" t="s">
        <v>2420</v>
      </c>
      <c r="C1031" s="1943">
        <v>13</v>
      </c>
      <c r="D1031" s="1944" t="s">
        <v>2421</v>
      </c>
      <c r="E1031" s="1945" t="s">
        <v>2422</v>
      </c>
      <c r="F1031" s="1945" t="s">
        <v>2637</v>
      </c>
      <c r="G1031" s="1946">
        <v>10430</v>
      </c>
      <c r="H1031" s="1946">
        <v>6029999</v>
      </c>
      <c r="I1031" s="1947" t="s">
        <v>2361</v>
      </c>
      <c r="J1031" s="2004">
        <f t="shared" ref="J1031:J1090" si="3">J893+J954</f>
        <v>25920000</v>
      </c>
    </row>
    <row r="1032" spans="1:10" ht="15">
      <c r="A1032" s="1949" t="s">
        <v>2710</v>
      </c>
      <c r="B1032" s="1945" t="s">
        <v>2423</v>
      </c>
      <c r="C1032" s="1943">
        <v>13</v>
      </c>
      <c r="D1032" s="1945" t="s">
        <v>2424</v>
      </c>
      <c r="E1032" s="1945" t="s">
        <v>2426</v>
      </c>
      <c r="F1032" s="1945" t="s">
        <v>2637</v>
      </c>
      <c r="G1032" s="1946">
        <v>10430</v>
      </c>
      <c r="H1032" s="1946">
        <v>6029999</v>
      </c>
      <c r="I1032" s="1947" t="s">
        <v>2425</v>
      </c>
      <c r="J1032" s="2004">
        <f t="shared" si="3"/>
        <v>35250000</v>
      </c>
    </row>
    <row r="1033" spans="1:10" ht="15">
      <c r="A1033" s="1949" t="s">
        <v>2710</v>
      </c>
      <c r="B1033" s="1945" t="s">
        <v>2427</v>
      </c>
      <c r="C1033" s="1943">
        <v>13</v>
      </c>
      <c r="D1033" s="1945" t="s">
        <v>2428</v>
      </c>
      <c r="E1033" s="1945" t="s">
        <v>2429</v>
      </c>
      <c r="F1033" s="1945" t="s">
        <v>2637</v>
      </c>
      <c r="G1033" s="1946">
        <v>10430</v>
      </c>
      <c r="H1033" s="1946">
        <v>6029999</v>
      </c>
      <c r="I1033" s="1947" t="s">
        <v>2333</v>
      </c>
      <c r="J1033" s="2004">
        <f t="shared" si="3"/>
        <v>19860000</v>
      </c>
    </row>
    <row r="1034" spans="1:10" ht="15">
      <c r="A1034" s="1949" t="s">
        <v>2710</v>
      </c>
      <c r="B1034" s="1945" t="s">
        <v>2331</v>
      </c>
      <c r="C1034" s="1943">
        <v>13</v>
      </c>
      <c r="D1034" s="1945" t="s">
        <v>2430</v>
      </c>
      <c r="E1034" s="1945" t="s">
        <v>2431</v>
      </c>
      <c r="F1034" s="1945" t="s">
        <v>2637</v>
      </c>
      <c r="G1034" s="1946">
        <v>10430</v>
      </c>
      <c r="H1034" s="1946">
        <v>6029999</v>
      </c>
      <c r="I1034" s="1947" t="s">
        <v>2333</v>
      </c>
      <c r="J1034" s="2004">
        <f t="shared" si="3"/>
        <v>15600000</v>
      </c>
    </row>
    <row r="1035" spans="1:10" ht="15">
      <c r="A1035" s="1949" t="s">
        <v>2710</v>
      </c>
      <c r="B1035" s="1945">
        <v>106</v>
      </c>
      <c r="C1035" s="1943">
        <v>13</v>
      </c>
      <c r="D1035" s="1945">
        <v>2106001</v>
      </c>
      <c r="E1035" s="1945" t="s">
        <v>2432</v>
      </c>
      <c r="F1035" s="1945" t="s">
        <v>2637</v>
      </c>
      <c r="G1035" s="1946">
        <v>10430</v>
      </c>
      <c r="H1035" s="1946">
        <v>6029999</v>
      </c>
      <c r="I1035" s="1947" t="s">
        <v>2392</v>
      </c>
      <c r="J1035" s="2004">
        <f t="shared" si="3"/>
        <v>140490000</v>
      </c>
    </row>
    <row r="1036" spans="1:10" ht="15">
      <c r="A1036" s="1949" t="s">
        <v>2710</v>
      </c>
      <c r="B1036" s="1945" t="s">
        <v>2433</v>
      </c>
      <c r="C1036" s="1943">
        <v>13</v>
      </c>
      <c r="D1036" s="1945" t="s">
        <v>2434</v>
      </c>
      <c r="E1036" s="1945" t="s">
        <v>2436</v>
      </c>
      <c r="F1036" s="1945" t="s">
        <v>2637</v>
      </c>
      <c r="G1036" s="1946">
        <v>10430</v>
      </c>
      <c r="H1036" s="1946">
        <v>6029999</v>
      </c>
      <c r="I1036" s="1947" t="s">
        <v>2435</v>
      </c>
      <c r="J1036" s="2004">
        <f t="shared" si="3"/>
        <v>48920000</v>
      </c>
    </row>
    <row r="1037" spans="1:10" ht="15">
      <c r="A1037" s="1949" t="s">
        <v>2710</v>
      </c>
      <c r="B1037" s="1945" t="s">
        <v>2437</v>
      </c>
      <c r="C1037" s="1943">
        <v>13</v>
      </c>
      <c r="D1037" s="1945" t="s">
        <v>2438</v>
      </c>
      <c r="E1037" s="1945" t="s">
        <v>2440</v>
      </c>
      <c r="F1037" s="1945" t="s">
        <v>2637</v>
      </c>
      <c r="G1037" s="1946">
        <v>10430</v>
      </c>
      <c r="H1037" s="1946">
        <v>6029999</v>
      </c>
      <c r="I1037" s="1950" t="s">
        <v>2439</v>
      </c>
      <c r="J1037" s="2004">
        <f t="shared" si="3"/>
        <v>49360000</v>
      </c>
    </row>
    <row r="1038" spans="1:10" ht="15">
      <c r="A1038" s="1949" t="s">
        <v>2710</v>
      </c>
      <c r="B1038" s="1945" t="s">
        <v>2441</v>
      </c>
      <c r="C1038" s="1943">
        <v>13</v>
      </c>
      <c r="D1038" s="1945" t="s">
        <v>2442</v>
      </c>
      <c r="E1038" s="1945" t="s">
        <v>2443</v>
      </c>
      <c r="F1038" s="1945" t="s">
        <v>2637</v>
      </c>
      <c r="G1038" s="1946">
        <v>10430</v>
      </c>
      <c r="H1038" s="1946">
        <v>6029999</v>
      </c>
      <c r="I1038" s="1950" t="s">
        <v>2439</v>
      </c>
      <c r="J1038" s="2004">
        <f t="shared" si="3"/>
        <v>38350000</v>
      </c>
    </row>
    <row r="1039" spans="1:10" ht="15">
      <c r="A1039" s="1949" t="s">
        <v>2710</v>
      </c>
      <c r="B1039" s="1945" t="s">
        <v>2444</v>
      </c>
      <c r="C1039" s="1943">
        <v>13</v>
      </c>
      <c r="D1039" s="1945" t="s">
        <v>2445</v>
      </c>
      <c r="E1039" s="1945" t="s">
        <v>2446</v>
      </c>
      <c r="F1039" s="1945" t="s">
        <v>2637</v>
      </c>
      <c r="G1039" s="1946">
        <v>10430</v>
      </c>
      <c r="H1039" s="1946">
        <v>6029999</v>
      </c>
      <c r="I1039" s="1947" t="s">
        <v>2349</v>
      </c>
      <c r="J1039" s="2004">
        <f t="shared" si="3"/>
        <v>171660000</v>
      </c>
    </row>
    <row r="1040" spans="1:10" ht="15">
      <c r="A1040" s="1949" t="s">
        <v>2710</v>
      </c>
      <c r="B1040" s="1945" t="s">
        <v>2447</v>
      </c>
      <c r="C1040" s="1943">
        <v>13</v>
      </c>
      <c r="D1040" s="1945" t="s">
        <v>2448</v>
      </c>
      <c r="E1040" s="1945" t="s">
        <v>2449</v>
      </c>
      <c r="F1040" s="1945" t="s">
        <v>2637</v>
      </c>
      <c r="G1040" s="1946">
        <v>10430</v>
      </c>
      <c r="H1040" s="1946">
        <v>6029999</v>
      </c>
      <c r="I1040" s="1947" t="s">
        <v>2349</v>
      </c>
      <c r="J1040" s="2004">
        <f t="shared" si="3"/>
        <v>29660000</v>
      </c>
    </row>
    <row r="1041" spans="1:10" ht="15">
      <c r="A1041" s="1949" t="s">
        <v>2710</v>
      </c>
      <c r="B1041" s="1945" t="s">
        <v>2450</v>
      </c>
      <c r="C1041" s="1943">
        <v>13</v>
      </c>
      <c r="D1041" s="1945" t="s">
        <v>2451</v>
      </c>
      <c r="E1041" s="1945" t="s">
        <v>2453</v>
      </c>
      <c r="F1041" s="1945" t="s">
        <v>2637</v>
      </c>
      <c r="G1041" s="1946">
        <v>10430</v>
      </c>
      <c r="H1041" s="1946">
        <v>6029999</v>
      </c>
      <c r="I1041" s="1947" t="s">
        <v>2452</v>
      </c>
      <c r="J1041" s="2004">
        <f t="shared" si="3"/>
        <v>61290000</v>
      </c>
    </row>
    <row r="1042" spans="1:10" ht="15">
      <c r="A1042" s="1949" t="s">
        <v>2710</v>
      </c>
      <c r="B1042" s="1945" t="s">
        <v>2454</v>
      </c>
      <c r="C1042" s="1943">
        <v>13</v>
      </c>
      <c r="D1042" s="1945" t="s">
        <v>2455</v>
      </c>
      <c r="E1042" s="1945" t="s">
        <v>2456</v>
      </c>
      <c r="F1042" s="1945" t="s">
        <v>2637</v>
      </c>
      <c r="G1042" s="1946">
        <v>10430</v>
      </c>
      <c r="H1042" s="1946">
        <v>6029999</v>
      </c>
      <c r="I1042" s="1947" t="s">
        <v>2397</v>
      </c>
      <c r="J1042" s="2004">
        <f t="shared" si="3"/>
        <v>276890000</v>
      </c>
    </row>
    <row r="1043" spans="1:10" ht="15">
      <c r="A1043" s="1949" t="s">
        <v>2710</v>
      </c>
      <c r="B1043" s="1945" t="s">
        <v>2457</v>
      </c>
      <c r="C1043" s="1943">
        <v>13</v>
      </c>
      <c r="D1043" s="1945" t="s">
        <v>2458</v>
      </c>
      <c r="E1043" s="1945" t="s">
        <v>2459</v>
      </c>
      <c r="F1043" s="1945" t="s">
        <v>2637</v>
      </c>
      <c r="G1043" s="1946">
        <v>10430</v>
      </c>
      <c r="H1043" s="1946">
        <v>6029999</v>
      </c>
      <c r="I1043" s="1947" t="s">
        <v>2397</v>
      </c>
      <c r="J1043" s="2004">
        <f t="shared" si="3"/>
        <v>46220000</v>
      </c>
    </row>
    <row r="1044" spans="1:10" ht="15">
      <c r="A1044" s="1949" t="s">
        <v>2710</v>
      </c>
      <c r="B1044" s="1945" t="s">
        <v>2460</v>
      </c>
      <c r="C1044" s="1943">
        <v>13</v>
      </c>
      <c r="D1044" s="1945" t="s">
        <v>2461</v>
      </c>
      <c r="E1044" s="1945" t="s">
        <v>2462</v>
      </c>
      <c r="F1044" s="1945" t="s">
        <v>2637</v>
      </c>
      <c r="G1044" s="1946">
        <v>10430</v>
      </c>
      <c r="H1044" s="1946">
        <v>6029999</v>
      </c>
      <c r="I1044" s="1947" t="s">
        <v>2397</v>
      </c>
      <c r="J1044" s="2004">
        <f t="shared" si="3"/>
        <v>36080000</v>
      </c>
    </row>
    <row r="1045" spans="1:10" ht="15">
      <c r="A1045" s="1949" t="s">
        <v>2710</v>
      </c>
      <c r="B1045" s="1945" t="s">
        <v>2463</v>
      </c>
      <c r="C1045" s="1943">
        <v>13</v>
      </c>
      <c r="D1045" s="1945" t="s">
        <v>2464</v>
      </c>
      <c r="E1045" s="1945" t="s">
        <v>2466</v>
      </c>
      <c r="F1045" s="1945" t="s">
        <v>2637</v>
      </c>
      <c r="G1045" s="1946">
        <v>10430</v>
      </c>
      <c r="H1045" s="1946">
        <v>6029999</v>
      </c>
      <c r="I1045" s="1947" t="s">
        <v>2465</v>
      </c>
      <c r="J1045" s="2004">
        <f t="shared" si="3"/>
        <v>52890000</v>
      </c>
    </row>
    <row r="1046" spans="1:10" ht="15">
      <c r="A1046" s="1949" t="s">
        <v>2710</v>
      </c>
      <c r="B1046" s="1945" t="s">
        <v>2467</v>
      </c>
      <c r="C1046" s="1943">
        <v>13</v>
      </c>
      <c r="D1046" s="1945" t="s">
        <v>2468</v>
      </c>
      <c r="E1046" s="1945" t="s">
        <v>2470</v>
      </c>
      <c r="F1046" s="1945" t="s">
        <v>2637</v>
      </c>
      <c r="G1046" s="1946">
        <v>10430</v>
      </c>
      <c r="H1046" s="1946">
        <v>6029999</v>
      </c>
      <c r="I1046" s="1947" t="s">
        <v>2469</v>
      </c>
      <c r="J1046" s="2004">
        <f t="shared" si="3"/>
        <v>69080000</v>
      </c>
    </row>
    <row r="1047" spans="1:10" ht="15">
      <c r="A1047" s="1949" t="s">
        <v>2710</v>
      </c>
      <c r="B1047" s="1945" t="s">
        <v>2471</v>
      </c>
      <c r="C1047" s="1943">
        <v>13</v>
      </c>
      <c r="D1047" s="1945" t="s">
        <v>2472</v>
      </c>
      <c r="E1047" s="1945" t="s">
        <v>2474</v>
      </c>
      <c r="F1047" s="1945" t="s">
        <v>2637</v>
      </c>
      <c r="G1047" s="1946">
        <v>10430</v>
      </c>
      <c r="H1047" s="1946">
        <v>6029999</v>
      </c>
      <c r="I1047" s="1947" t="s">
        <v>2473</v>
      </c>
      <c r="J1047" s="2004">
        <f t="shared" si="3"/>
        <v>87760000</v>
      </c>
    </row>
    <row r="1048" spans="1:10" ht="15">
      <c r="A1048" s="1949" t="s">
        <v>2710</v>
      </c>
      <c r="B1048" s="1945" t="s">
        <v>2475</v>
      </c>
      <c r="C1048" s="1943">
        <v>13</v>
      </c>
      <c r="D1048" s="1945" t="s">
        <v>2476</v>
      </c>
      <c r="E1048" s="1945" t="s">
        <v>2477</v>
      </c>
      <c r="F1048" s="1945" t="s">
        <v>2637</v>
      </c>
      <c r="G1048" s="1946">
        <v>10430</v>
      </c>
      <c r="H1048" s="1946">
        <v>6029999</v>
      </c>
      <c r="I1048" s="1947" t="s">
        <v>2473</v>
      </c>
      <c r="J1048" s="2004">
        <f t="shared" si="3"/>
        <v>65530000</v>
      </c>
    </row>
    <row r="1049" spans="1:10" ht="15">
      <c r="A1049" s="1949" t="s">
        <v>2710</v>
      </c>
      <c r="B1049" s="1945" t="s">
        <v>2478</v>
      </c>
      <c r="C1049" s="1943">
        <v>13</v>
      </c>
      <c r="D1049" s="1945" t="s">
        <v>2479</v>
      </c>
      <c r="E1049" s="1945" t="s">
        <v>2480</v>
      </c>
      <c r="F1049" s="1945" t="s">
        <v>2637</v>
      </c>
      <c r="G1049" s="1946">
        <v>10430</v>
      </c>
      <c r="H1049" s="1946">
        <v>6029999</v>
      </c>
      <c r="I1049" s="1947" t="s">
        <v>2325</v>
      </c>
      <c r="J1049" s="2004">
        <f t="shared" si="3"/>
        <v>133810000</v>
      </c>
    </row>
    <row r="1050" spans="1:10" ht="15">
      <c r="A1050" s="1949" t="s">
        <v>2710</v>
      </c>
      <c r="B1050" s="1945" t="s">
        <v>2481</v>
      </c>
      <c r="C1050" s="1943">
        <v>13</v>
      </c>
      <c r="D1050" s="1945" t="s">
        <v>2482</v>
      </c>
      <c r="E1050" s="1945" t="s">
        <v>2483</v>
      </c>
      <c r="F1050" s="1945" t="s">
        <v>2637</v>
      </c>
      <c r="G1050" s="1946">
        <v>10430</v>
      </c>
      <c r="H1050" s="1946">
        <v>6029999</v>
      </c>
      <c r="I1050" s="1947" t="s">
        <v>2325</v>
      </c>
      <c r="J1050" s="2004">
        <f t="shared" si="3"/>
        <v>28820000</v>
      </c>
    </row>
    <row r="1051" spans="1:10" ht="15">
      <c r="A1051" s="1949" t="s">
        <v>2710</v>
      </c>
      <c r="B1051" s="1945" t="s">
        <v>2484</v>
      </c>
      <c r="C1051" s="1943">
        <v>13</v>
      </c>
      <c r="D1051" s="1945" t="s">
        <v>2485</v>
      </c>
      <c r="E1051" s="1945" t="s">
        <v>2486</v>
      </c>
      <c r="F1051" s="1945" t="s">
        <v>2637</v>
      </c>
      <c r="G1051" s="1946">
        <v>10430</v>
      </c>
      <c r="H1051" s="1946">
        <v>6029999</v>
      </c>
      <c r="I1051" s="1947" t="s">
        <v>2325</v>
      </c>
      <c r="J1051" s="2004">
        <f t="shared" si="3"/>
        <v>24350000</v>
      </c>
    </row>
    <row r="1052" spans="1:10" ht="15">
      <c r="A1052" s="1949" t="s">
        <v>2710</v>
      </c>
      <c r="B1052" s="1945" t="s">
        <v>2487</v>
      </c>
      <c r="C1052" s="1943">
        <v>13</v>
      </c>
      <c r="D1052" s="1945" t="s">
        <v>2488</v>
      </c>
      <c r="E1052" s="1945" t="s">
        <v>2490</v>
      </c>
      <c r="F1052" s="1945" t="s">
        <v>2637</v>
      </c>
      <c r="G1052" s="1946">
        <v>10430</v>
      </c>
      <c r="H1052" s="1946">
        <v>6029999</v>
      </c>
      <c r="I1052" s="1947" t="s">
        <v>2489</v>
      </c>
      <c r="J1052" s="2004">
        <f t="shared" si="3"/>
        <v>90550000</v>
      </c>
    </row>
    <row r="1053" spans="1:10" ht="15">
      <c r="A1053" s="1949" t="s">
        <v>2710</v>
      </c>
      <c r="B1053" s="1945" t="s">
        <v>2491</v>
      </c>
      <c r="C1053" s="1943">
        <v>13</v>
      </c>
      <c r="D1053" s="1945" t="s">
        <v>2492</v>
      </c>
      <c r="E1053" s="1945" t="s">
        <v>2493</v>
      </c>
      <c r="F1053" s="1945" t="s">
        <v>2637</v>
      </c>
      <c r="G1053" s="1946">
        <v>10430</v>
      </c>
      <c r="H1053" s="1946">
        <v>6029999</v>
      </c>
      <c r="I1053" s="1947" t="s">
        <v>2489</v>
      </c>
      <c r="J1053" s="2004">
        <f t="shared" si="3"/>
        <v>33690000</v>
      </c>
    </row>
    <row r="1054" spans="1:10" ht="15">
      <c r="A1054" s="1949" t="s">
        <v>2710</v>
      </c>
      <c r="B1054" s="1945" t="s">
        <v>2494</v>
      </c>
      <c r="C1054" s="1943">
        <v>13</v>
      </c>
      <c r="D1054" s="1945" t="s">
        <v>2495</v>
      </c>
      <c r="E1054" s="1945" t="s">
        <v>2497</v>
      </c>
      <c r="F1054" s="1945" t="s">
        <v>2637</v>
      </c>
      <c r="G1054" s="1946">
        <v>10430</v>
      </c>
      <c r="H1054" s="1946">
        <v>6029999</v>
      </c>
      <c r="I1054" s="1947" t="s">
        <v>2496</v>
      </c>
      <c r="J1054" s="2004">
        <f t="shared" si="3"/>
        <v>35560000</v>
      </c>
    </row>
    <row r="1055" spans="1:10" ht="15">
      <c r="A1055" s="1949" t="s">
        <v>2710</v>
      </c>
      <c r="B1055" s="1945" t="s">
        <v>148</v>
      </c>
      <c r="C1055" s="1943">
        <v>13</v>
      </c>
      <c r="D1055" s="1945" t="s">
        <v>2498</v>
      </c>
      <c r="E1055" s="1945" t="s">
        <v>2500</v>
      </c>
      <c r="F1055" s="1945" t="s">
        <v>2637</v>
      </c>
      <c r="G1055" s="1946">
        <v>10430</v>
      </c>
      <c r="H1055" s="1946">
        <v>6029999</v>
      </c>
      <c r="I1055" s="1947" t="s">
        <v>2499</v>
      </c>
      <c r="J1055" s="2004">
        <f t="shared" si="3"/>
        <v>25360000</v>
      </c>
    </row>
    <row r="1056" spans="1:10" ht="15">
      <c r="A1056" s="1949" t="s">
        <v>2710</v>
      </c>
      <c r="B1056" s="1945" t="s">
        <v>2501</v>
      </c>
      <c r="C1056" s="1943">
        <v>13</v>
      </c>
      <c r="D1056" s="1945" t="s">
        <v>2502</v>
      </c>
      <c r="E1056" s="1945" t="s">
        <v>2503</v>
      </c>
      <c r="F1056" s="1945" t="s">
        <v>2637</v>
      </c>
      <c r="G1056" s="1946">
        <v>10430</v>
      </c>
      <c r="H1056" s="1946">
        <v>6029999</v>
      </c>
      <c r="I1056" s="1947" t="s">
        <v>2499</v>
      </c>
      <c r="J1056" s="2004">
        <f t="shared" si="3"/>
        <v>4250000</v>
      </c>
    </row>
    <row r="1057" spans="1:10" ht="15">
      <c r="A1057" s="1949" t="s">
        <v>2710</v>
      </c>
      <c r="B1057" s="1945" t="s">
        <v>2504</v>
      </c>
      <c r="C1057" s="1943">
        <v>13</v>
      </c>
      <c r="D1057" s="1945" t="s">
        <v>2505</v>
      </c>
      <c r="E1057" s="1945" t="s">
        <v>2507</v>
      </c>
      <c r="F1057" s="1945" t="s">
        <v>2637</v>
      </c>
      <c r="G1057" s="1946">
        <v>10430</v>
      </c>
      <c r="H1057" s="1946">
        <v>6029999</v>
      </c>
      <c r="I1057" s="1947" t="s">
        <v>2506</v>
      </c>
      <c r="J1057" s="2004">
        <f t="shared" si="3"/>
        <v>16820000</v>
      </c>
    </row>
    <row r="1058" spans="1:10" ht="15">
      <c r="A1058" s="1949" t="s">
        <v>2710</v>
      </c>
      <c r="B1058" s="1945" t="s">
        <v>2508</v>
      </c>
      <c r="C1058" s="1943">
        <v>13</v>
      </c>
      <c r="D1058" s="1945" t="s">
        <v>2509</v>
      </c>
      <c r="E1058" s="1945" t="s">
        <v>2510</v>
      </c>
      <c r="F1058" s="1945" t="s">
        <v>2637</v>
      </c>
      <c r="G1058" s="1946">
        <v>10430</v>
      </c>
      <c r="H1058" s="1946">
        <v>6029999</v>
      </c>
      <c r="I1058" s="1947" t="s">
        <v>2506</v>
      </c>
      <c r="J1058" s="2004">
        <f t="shared" si="3"/>
        <v>20800000</v>
      </c>
    </row>
    <row r="1059" spans="1:10" ht="15">
      <c r="A1059" s="1949" t="s">
        <v>2710</v>
      </c>
      <c r="B1059" s="1945" t="s">
        <v>2511</v>
      </c>
      <c r="C1059" s="1943">
        <v>13</v>
      </c>
      <c r="D1059" s="1945" t="s">
        <v>2512</v>
      </c>
      <c r="E1059" s="1945" t="s">
        <v>2514</v>
      </c>
      <c r="F1059" s="1945" t="s">
        <v>2637</v>
      </c>
      <c r="G1059" s="1946">
        <v>10430</v>
      </c>
      <c r="H1059" s="1946">
        <v>6029999</v>
      </c>
      <c r="I1059" s="1947" t="s">
        <v>2513</v>
      </c>
      <c r="J1059" s="2004">
        <f t="shared" si="3"/>
        <v>14360000</v>
      </c>
    </row>
    <row r="1060" spans="1:10" ht="15">
      <c r="A1060" s="1949" t="s">
        <v>2710</v>
      </c>
      <c r="B1060" s="1945" t="s">
        <v>2515</v>
      </c>
      <c r="C1060" s="1943">
        <v>13</v>
      </c>
      <c r="D1060" s="1945" t="s">
        <v>2516</v>
      </c>
      <c r="E1060" s="1945" t="s">
        <v>2517</v>
      </c>
      <c r="F1060" s="1945" t="s">
        <v>2637</v>
      </c>
      <c r="G1060" s="1946">
        <v>10430</v>
      </c>
      <c r="H1060" s="1946">
        <v>6029999</v>
      </c>
      <c r="I1060" s="1947" t="s">
        <v>2513</v>
      </c>
      <c r="J1060" s="2004">
        <f t="shared" si="3"/>
        <v>11580000</v>
      </c>
    </row>
    <row r="1061" spans="1:10" ht="15">
      <c r="A1061" s="1949" t="s">
        <v>2710</v>
      </c>
      <c r="B1061" s="1944" t="s">
        <v>2518</v>
      </c>
      <c r="C1061" s="1943">
        <v>13</v>
      </c>
      <c r="D1061" s="1944" t="s">
        <v>2519</v>
      </c>
      <c r="E1061" s="1944" t="s">
        <v>2520</v>
      </c>
      <c r="F1061" s="1945" t="s">
        <v>2637</v>
      </c>
      <c r="G1061" s="1946">
        <v>10430</v>
      </c>
      <c r="H1061" s="1946">
        <v>6029999</v>
      </c>
      <c r="I1061" s="1951" t="s">
        <v>2499</v>
      </c>
      <c r="J1061" s="2004">
        <f t="shared" si="3"/>
        <v>6280000</v>
      </c>
    </row>
    <row r="1062" spans="1:10" ht="15">
      <c r="A1062" s="1949" t="s">
        <v>2710</v>
      </c>
      <c r="B1062" s="1945" t="s">
        <v>2521</v>
      </c>
      <c r="C1062" s="1943">
        <v>13</v>
      </c>
      <c r="D1062" s="1945" t="s">
        <v>2522</v>
      </c>
      <c r="E1062" s="1945" t="s">
        <v>2524</v>
      </c>
      <c r="F1062" s="1945" t="s">
        <v>2637</v>
      </c>
      <c r="G1062" s="1946">
        <v>10430</v>
      </c>
      <c r="H1062" s="1946">
        <v>6029999</v>
      </c>
      <c r="I1062" s="1947" t="s">
        <v>2523</v>
      </c>
      <c r="J1062" s="2004">
        <f t="shared" si="3"/>
        <v>91190000</v>
      </c>
    </row>
    <row r="1063" spans="1:10" ht="15">
      <c r="A1063" s="1949" t="s">
        <v>2710</v>
      </c>
      <c r="B1063" s="1945" t="s">
        <v>2525</v>
      </c>
      <c r="C1063" s="1943">
        <v>13</v>
      </c>
      <c r="D1063" s="1945" t="s">
        <v>2526</v>
      </c>
      <c r="E1063" s="1945" t="s">
        <v>2527</v>
      </c>
      <c r="F1063" s="1945" t="s">
        <v>2637</v>
      </c>
      <c r="G1063" s="1946">
        <v>10430</v>
      </c>
      <c r="H1063" s="1946">
        <v>6029999</v>
      </c>
      <c r="I1063" s="1947" t="s">
        <v>2523</v>
      </c>
      <c r="J1063" s="2004">
        <f t="shared" si="3"/>
        <v>60890000</v>
      </c>
    </row>
    <row r="1064" spans="1:10" ht="15">
      <c r="A1064" s="1949" t="s">
        <v>2710</v>
      </c>
      <c r="B1064" s="1944" t="s">
        <v>2528</v>
      </c>
      <c r="C1064" s="1943">
        <v>13</v>
      </c>
      <c r="D1064" s="1944" t="s">
        <v>2529</v>
      </c>
      <c r="E1064" s="1944" t="s">
        <v>2530</v>
      </c>
      <c r="F1064" s="1945" t="s">
        <v>2637</v>
      </c>
      <c r="G1064" s="1946">
        <v>10430</v>
      </c>
      <c r="H1064" s="1946">
        <v>6029999</v>
      </c>
      <c r="I1064" s="1951" t="s">
        <v>2523</v>
      </c>
      <c r="J1064" s="2004">
        <f t="shared" si="3"/>
        <v>1720000</v>
      </c>
    </row>
    <row r="1065" spans="1:10" ht="15">
      <c r="A1065" s="1949" t="s">
        <v>2710</v>
      </c>
      <c r="B1065" s="1945" t="s">
        <v>2531</v>
      </c>
      <c r="C1065" s="1943">
        <v>13</v>
      </c>
      <c r="D1065" s="1945" t="s">
        <v>2532</v>
      </c>
      <c r="E1065" s="1945" t="s">
        <v>2534</v>
      </c>
      <c r="F1065" s="1945" t="s">
        <v>2637</v>
      </c>
      <c r="G1065" s="1946">
        <v>10430</v>
      </c>
      <c r="H1065" s="1946">
        <v>6029999</v>
      </c>
      <c r="I1065" s="1947" t="s">
        <v>2533</v>
      </c>
      <c r="J1065" s="2004">
        <f t="shared" si="3"/>
        <v>18290000</v>
      </c>
    </row>
    <row r="1066" spans="1:10" ht="15">
      <c r="A1066" s="1949" t="s">
        <v>2710</v>
      </c>
      <c r="B1066" s="1945" t="s">
        <v>2535</v>
      </c>
      <c r="C1066" s="1943">
        <v>13</v>
      </c>
      <c r="D1066" s="1945" t="s">
        <v>2536</v>
      </c>
      <c r="E1066" s="1945" t="s">
        <v>2538</v>
      </c>
      <c r="F1066" s="1945" t="s">
        <v>2637</v>
      </c>
      <c r="G1066" s="1946">
        <v>10430</v>
      </c>
      <c r="H1066" s="1946">
        <v>6029999</v>
      </c>
      <c r="I1066" s="1947" t="s">
        <v>2537</v>
      </c>
      <c r="J1066" s="2004">
        <f t="shared" si="3"/>
        <v>32130000</v>
      </c>
    </row>
    <row r="1067" spans="1:10" ht="15">
      <c r="A1067" s="1949" t="s">
        <v>2710</v>
      </c>
      <c r="B1067" s="1945" t="s">
        <v>2539</v>
      </c>
      <c r="C1067" s="1943">
        <v>13</v>
      </c>
      <c r="D1067" s="1945" t="s">
        <v>2540</v>
      </c>
      <c r="E1067" s="1945" t="s">
        <v>2542</v>
      </c>
      <c r="F1067" s="1945" t="s">
        <v>2637</v>
      </c>
      <c r="G1067" s="1946">
        <v>10430</v>
      </c>
      <c r="H1067" s="1946">
        <v>6029999</v>
      </c>
      <c r="I1067" s="1947" t="s">
        <v>2541</v>
      </c>
      <c r="J1067" s="2004">
        <f t="shared" si="3"/>
        <v>131080000</v>
      </c>
    </row>
    <row r="1068" spans="1:10" ht="15">
      <c r="A1068" s="1949" t="s">
        <v>2710</v>
      </c>
      <c r="B1068" s="1945" t="s">
        <v>2701</v>
      </c>
      <c r="C1068" s="1943">
        <v>13</v>
      </c>
      <c r="D1068" s="1945" t="s">
        <v>2543</v>
      </c>
      <c r="E1068" s="1945" t="s">
        <v>2545</v>
      </c>
      <c r="F1068" s="1945" t="s">
        <v>2637</v>
      </c>
      <c r="G1068" s="1946">
        <v>10430</v>
      </c>
      <c r="H1068" s="1946">
        <v>6029999</v>
      </c>
      <c r="I1068" s="1947" t="s">
        <v>2544</v>
      </c>
      <c r="J1068" s="2004">
        <f t="shared" si="3"/>
        <v>106490000</v>
      </c>
    </row>
    <row r="1069" spans="1:10" ht="15">
      <c r="A1069" s="1949" t="s">
        <v>2710</v>
      </c>
      <c r="B1069" s="1945" t="s">
        <v>2546</v>
      </c>
      <c r="C1069" s="1943">
        <v>13</v>
      </c>
      <c r="D1069" s="1945" t="s">
        <v>2547</v>
      </c>
      <c r="E1069" s="1945" t="s">
        <v>2549</v>
      </c>
      <c r="F1069" s="1945" t="s">
        <v>2637</v>
      </c>
      <c r="G1069" s="1946">
        <v>10430</v>
      </c>
      <c r="H1069" s="1946">
        <v>6029999</v>
      </c>
      <c r="I1069" s="1947" t="s">
        <v>2548</v>
      </c>
      <c r="J1069" s="2004">
        <f t="shared" si="3"/>
        <v>39620000</v>
      </c>
    </row>
    <row r="1070" spans="1:10" ht="15">
      <c r="A1070" s="1949" t="s">
        <v>2710</v>
      </c>
      <c r="B1070" s="1945" t="s">
        <v>2550</v>
      </c>
      <c r="C1070" s="1943">
        <v>13</v>
      </c>
      <c r="D1070" s="1945" t="s">
        <v>2551</v>
      </c>
      <c r="E1070" s="1945" t="s">
        <v>2553</v>
      </c>
      <c r="F1070" s="1945" t="s">
        <v>2637</v>
      </c>
      <c r="G1070" s="1946">
        <v>10430</v>
      </c>
      <c r="H1070" s="1946">
        <v>6029999</v>
      </c>
      <c r="I1070" s="1947" t="s">
        <v>2552</v>
      </c>
      <c r="J1070" s="2004">
        <f t="shared" si="3"/>
        <v>51560000</v>
      </c>
    </row>
    <row r="1071" spans="1:10" ht="15">
      <c r="A1071" s="1949" t="s">
        <v>2710</v>
      </c>
      <c r="B1071" s="1945" t="s">
        <v>2554</v>
      </c>
      <c r="C1071" s="1943">
        <v>13</v>
      </c>
      <c r="D1071" s="1945" t="s">
        <v>2555</v>
      </c>
      <c r="E1071" s="1945" t="s">
        <v>2557</v>
      </c>
      <c r="F1071" s="1945" t="s">
        <v>2637</v>
      </c>
      <c r="G1071" s="1946">
        <v>10430</v>
      </c>
      <c r="H1071" s="1946">
        <v>6029999</v>
      </c>
      <c r="I1071" s="1947" t="s">
        <v>2556</v>
      </c>
      <c r="J1071" s="2004">
        <f t="shared" si="3"/>
        <v>91420000</v>
      </c>
    </row>
    <row r="1072" spans="1:10" ht="15">
      <c r="A1072" s="1949" t="s">
        <v>2710</v>
      </c>
      <c r="B1072" s="1945" t="s">
        <v>2558</v>
      </c>
      <c r="C1072" s="1943">
        <v>13</v>
      </c>
      <c r="D1072" s="1945" t="s">
        <v>2559</v>
      </c>
      <c r="E1072" s="1945" t="s">
        <v>2561</v>
      </c>
      <c r="F1072" s="1945" t="s">
        <v>2637</v>
      </c>
      <c r="G1072" s="1946">
        <v>10430</v>
      </c>
      <c r="H1072" s="1946">
        <v>6029999</v>
      </c>
      <c r="I1072" s="1947" t="s">
        <v>2560</v>
      </c>
      <c r="J1072" s="2004">
        <f t="shared" si="3"/>
        <v>44030000</v>
      </c>
    </row>
    <row r="1073" spans="1:10" ht="15">
      <c r="A1073" s="1949" t="s">
        <v>2710</v>
      </c>
      <c r="B1073" s="1945" t="s">
        <v>2562</v>
      </c>
      <c r="C1073" s="1943">
        <v>13</v>
      </c>
      <c r="D1073" s="1945" t="s">
        <v>2563</v>
      </c>
      <c r="E1073" s="1945" t="s">
        <v>2565</v>
      </c>
      <c r="F1073" s="1945" t="s">
        <v>2637</v>
      </c>
      <c r="G1073" s="1946">
        <v>10430</v>
      </c>
      <c r="H1073" s="1946">
        <v>6029999</v>
      </c>
      <c r="I1073" s="1947" t="s">
        <v>2564</v>
      </c>
      <c r="J1073" s="2004">
        <f t="shared" si="3"/>
        <v>71710000</v>
      </c>
    </row>
    <row r="1074" spans="1:10" ht="15">
      <c r="A1074" s="1949" t="s">
        <v>2710</v>
      </c>
      <c r="B1074" s="1945" t="s">
        <v>2566</v>
      </c>
      <c r="C1074" s="1943">
        <v>13</v>
      </c>
      <c r="D1074" s="1945" t="s">
        <v>2567</v>
      </c>
      <c r="E1074" s="1945" t="s">
        <v>2569</v>
      </c>
      <c r="F1074" s="1945" t="s">
        <v>2637</v>
      </c>
      <c r="G1074" s="1946">
        <v>10430</v>
      </c>
      <c r="H1074" s="1946">
        <v>6029999</v>
      </c>
      <c r="I1074" s="1947" t="s">
        <v>2568</v>
      </c>
      <c r="J1074" s="2004">
        <f t="shared" si="3"/>
        <v>40730000</v>
      </c>
    </row>
    <row r="1075" spans="1:10" ht="15">
      <c r="A1075" s="1949" t="s">
        <v>2710</v>
      </c>
      <c r="B1075" s="1945" t="s">
        <v>2570</v>
      </c>
      <c r="C1075" s="1943">
        <v>13</v>
      </c>
      <c r="D1075" s="1945" t="s">
        <v>2571</v>
      </c>
      <c r="E1075" s="1945" t="s">
        <v>2573</v>
      </c>
      <c r="F1075" s="1945" t="s">
        <v>2637</v>
      </c>
      <c r="G1075" s="1946">
        <v>10430</v>
      </c>
      <c r="H1075" s="1946">
        <v>6029999</v>
      </c>
      <c r="I1075" s="1947" t="s">
        <v>2572</v>
      </c>
      <c r="J1075" s="2004">
        <f t="shared" si="3"/>
        <v>150570000</v>
      </c>
    </row>
    <row r="1076" spans="1:10" ht="15">
      <c r="A1076" s="1949" t="s">
        <v>2710</v>
      </c>
      <c r="B1076" s="1945" t="s">
        <v>2574</v>
      </c>
      <c r="C1076" s="1943">
        <v>13</v>
      </c>
      <c r="D1076" s="1945" t="s">
        <v>2575</v>
      </c>
      <c r="E1076" s="1945" t="s">
        <v>2576</v>
      </c>
      <c r="F1076" s="1945" t="s">
        <v>2637</v>
      </c>
      <c r="G1076" s="1946">
        <v>10430</v>
      </c>
      <c r="H1076" s="1946">
        <v>6029999</v>
      </c>
      <c r="I1076" s="1947" t="s">
        <v>2572</v>
      </c>
      <c r="J1076" s="2004">
        <f t="shared" si="3"/>
        <v>42020000</v>
      </c>
    </row>
    <row r="1077" spans="1:10" ht="15">
      <c r="A1077" s="1949" t="s">
        <v>2710</v>
      </c>
      <c r="B1077" s="1945" t="s">
        <v>2577</v>
      </c>
      <c r="C1077" s="1943">
        <v>13</v>
      </c>
      <c r="D1077" s="1945" t="s">
        <v>2578</v>
      </c>
      <c r="E1077" s="1945" t="s">
        <v>2580</v>
      </c>
      <c r="F1077" s="1945" t="s">
        <v>2637</v>
      </c>
      <c r="G1077" s="1946">
        <v>10430</v>
      </c>
      <c r="H1077" s="1946">
        <v>6029999</v>
      </c>
      <c r="I1077" s="1947" t="s">
        <v>2579</v>
      </c>
      <c r="J1077" s="2004">
        <f t="shared" si="3"/>
        <v>17390000</v>
      </c>
    </row>
    <row r="1078" spans="1:10" ht="15">
      <c r="A1078" s="1949" t="s">
        <v>2710</v>
      </c>
      <c r="B1078" s="1945" t="s">
        <v>2581</v>
      </c>
      <c r="C1078" s="1943">
        <v>13</v>
      </c>
      <c r="D1078" s="1945" t="s">
        <v>2582</v>
      </c>
      <c r="E1078" s="1945" t="s">
        <v>2583</v>
      </c>
      <c r="F1078" s="1945" t="s">
        <v>2637</v>
      </c>
      <c r="G1078" s="1946">
        <v>10430</v>
      </c>
      <c r="H1078" s="1946">
        <v>6029999</v>
      </c>
      <c r="I1078" s="1947" t="s">
        <v>2579</v>
      </c>
      <c r="J1078" s="2004">
        <f t="shared" si="3"/>
        <v>15870000</v>
      </c>
    </row>
    <row r="1079" spans="1:10" ht="15">
      <c r="A1079" s="1949" t="s">
        <v>2710</v>
      </c>
      <c r="B1079" s="1945" t="s">
        <v>2584</v>
      </c>
      <c r="C1079" s="1943">
        <v>13</v>
      </c>
      <c r="D1079" s="1945" t="s">
        <v>2585</v>
      </c>
      <c r="E1079" s="1945" t="s">
        <v>2586</v>
      </c>
      <c r="F1079" s="1945" t="s">
        <v>2637</v>
      </c>
      <c r="G1079" s="1946">
        <v>10430</v>
      </c>
      <c r="H1079" s="1946">
        <v>6029999</v>
      </c>
      <c r="I1079" s="1947" t="s">
        <v>2372</v>
      </c>
      <c r="J1079" s="2004">
        <f t="shared" si="3"/>
        <v>406050000</v>
      </c>
    </row>
    <row r="1080" spans="1:10" ht="15">
      <c r="A1080" s="1949" t="s">
        <v>2710</v>
      </c>
      <c r="B1080" s="1945" t="s">
        <v>2587</v>
      </c>
      <c r="C1080" s="1943">
        <v>13</v>
      </c>
      <c r="D1080" s="1945" t="s">
        <v>2588</v>
      </c>
      <c r="E1080" s="1945" t="s">
        <v>2589</v>
      </c>
      <c r="F1080" s="1945" t="s">
        <v>2637</v>
      </c>
      <c r="G1080" s="1946">
        <v>10430</v>
      </c>
      <c r="H1080" s="1946">
        <v>6029999</v>
      </c>
      <c r="I1080" s="1947" t="s">
        <v>2372</v>
      </c>
      <c r="J1080" s="2004">
        <f t="shared" si="3"/>
        <v>73000000</v>
      </c>
    </row>
    <row r="1081" spans="1:10" ht="15.75" thickBot="1">
      <c r="A1081" s="2005" t="s">
        <v>2710</v>
      </c>
      <c r="B1081" s="2006" t="s">
        <v>2590</v>
      </c>
      <c r="C1081" s="2007">
        <v>13</v>
      </c>
      <c r="D1081" s="2006" t="s">
        <v>2591</v>
      </c>
      <c r="E1081" s="2006" t="s">
        <v>2592</v>
      </c>
      <c r="F1081" s="2006" t="s">
        <v>2637</v>
      </c>
      <c r="G1081" s="2008">
        <v>10430</v>
      </c>
      <c r="H1081" s="2008">
        <v>6029999</v>
      </c>
      <c r="I1081" s="2009" t="s">
        <v>2372</v>
      </c>
      <c r="J1081" s="2004">
        <f t="shared" si="3"/>
        <v>19790000</v>
      </c>
    </row>
    <row r="1082" spans="1:10" ht="15">
      <c r="A1082" s="1935" t="s">
        <v>2710</v>
      </c>
      <c r="B1082" s="1937" t="s">
        <v>2593</v>
      </c>
      <c r="C1082" s="1936">
        <v>13</v>
      </c>
      <c r="D1082" s="1937" t="s">
        <v>2594</v>
      </c>
      <c r="E1082" s="1937" t="s">
        <v>2596</v>
      </c>
      <c r="F1082" s="1937" t="s">
        <v>2637</v>
      </c>
      <c r="G1082" s="1938">
        <v>10430</v>
      </c>
      <c r="H1082" s="1938">
        <v>6029999</v>
      </c>
      <c r="I1082" s="1940" t="s">
        <v>2595</v>
      </c>
      <c r="J1082" s="2004">
        <f t="shared" si="3"/>
        <v>43520000</v>
      </c>
    </row>
    <row r="1083" spans="1:10" ht="15">
      <c r="A1083" s="1949" t="s">
        <v>2710</v>
      </c>
      <c r="B1083" s="1945" t="s">
        <v>2597</v>
      </c>
      <c r="C1083" s="1943">
        <v>13</v>
      </c>
      <c r="D1083" s="1945" t="s">
        <v>2598</v>
      </c>
      <c r="E1083" s="1945" t="s">
        <v>2599</v>
      </c>
      <c r="F1083" s="1945" t="s">
        <v>2637</v>
      </c>
      <c r="G1083" s="1946">
        <v>10430</v>
      </c>
      <c r="H1083" s="1946">
        <v>6029999</v>
      </c>
      <c r="I1083" s="1947" t="s">
        <v>2595</v>
      </c>
      <c r="J1083" s="2004">
        <f t="shared" si="3"/>
        <v>21020000</v>
      </c>
    </row>
    <row r="1084" spans="1:10" ht="15">
      <c r="A1084" s="1949" t="s">
        <v>2710</v>
      </c>
      <c r="B1084" s="1945" t="s">
        <v>2600</v>
      </c>
      <c r="C1084" s="1943">
        <v>13</v>
      </c>
      <c r="D1084" s="1945" t="s">
        <v>2601</v>
      </c>
      <c r="E1084" s="1945" t="s">
        <v>2602</v>
      </c>
      <c r="F1084" s="1945" t="s">
        <v>2637</v>
      </c>
      <c r="G1084" s="1946">
        <v>10430</v>
      </c>
      <c r="H1084" s="1946">
        <v>6029999</v>
      </c>
      <c r="I1084" s="1947" t="s">
        <v>2336</v>
      </c>
      <c r="J1084" s="2004">
        <f t="shared" si="3"/>
        <v>107690000</v>
      </c>
    </row>
    <row r="1085" spans="1:10" ht="15">
      <c r="A1085" s="1949" t="s">
        <v>2710</v>
      </c>
      <c r="B1085" s="1945" t="s">
        <v>2603</v>
      </c>
      <c r="C1085" s="1943">
        <v>13</v>
      </c>
      <c r="D1085" s="1945" t="s">
        <v>2604</v>
      </c>
      <c r="E1085" s="1945" t="s">
        <v>2605</v>
      </c>
      <c r="F1085" s="1945" t="s">
        <v>2637</v>
      </c>
      <c r="G1085" s="1946">
        <v>10430</v>
      </c>
      <c r="H1085" s="1946">
        <v>6029999</v>
      </c>
      <c r="I1085" s="1947" t="s">
        <v>2336</v>
      </c>
      <c r="J1085" s="2004">
        <f t="shared" si="3"/>
        <v>27920000</v>
      </c>
    </row>
    <row r="1086" spans="1:10" ht="15">
      <c r="A1086" s="1949" t="s">
        <v>2710</v>
      </c>
      <c r="B1086" s="1945" t="s">
        <v>2606</v>
      </c>
      <c r="C1086" s="1943">
        <v>13</v>
      </c>
      <c r="D1086" s="1945" t="s">
        <v>2607</v>
      </c>
      <c r="E1086" s="1945" t="s">
        <v>2608</v>
      </c>
      <c r="F1086" s="1945" t="s">
        <v>2637</v>
      </c>
      <c r="G1086" s="1946">
        <v>10430</v>
      </c>
      <c r="H1086" s="1946">
        <v>6029999</v>
      </c>
      <c r="I1086" s="1947" t="s">
        <v>2336</v>
      </c>
      <c r="J1086" s="2004">
        <f t="shared" si="3"/>
        <v>9930000</v>
      </c>
    </row>
    <row r="1087" spans="1:10" ht="15">
      <c r="A1087" s="1949" t="s">
        <v>2710</v>
      </c>
      <c r="B1087" s="1945" t="s">
        <v>2609</v>
      </c>
      <c r="C1087" s="1943">
        <v>13</v>
      </c>
      <c r="D1087" s="1945" t="s">
        <v>2610</v>
      </c>
      <c r="E1087" s="1945" t="s">
        <v>2612</v>
      </c>
      <c r="F1087" s="1945" t="s">
        <v>2637</v>
      </c>
      <c r="G1087" s="1946">
        <v>10430</v>
      </c>
      <c r="H1087" s="1946">
        <v>6029999</v>
      </c>
      <c r="I1087" s="1947" t="s">
        <v>2611</v>
      </c>
      <c r="J1087" s="2004">
        <f t="shared" si="3"/>
        <v>34170000</v>
      </c>
    </row>
    <row r="1088" spans="1:10" ht="15">
      <c r="A1088" s="1949" t="s">
        <v>2710</v>
      </c>
      <c r="B1088" s="1945" t="s">
        <v>2613</v>
      </c>
      <c r="C1088" s="1943">
        <v>13</v>
      </c>
      <c r="D1088" s="1945" t="s">
        <v>2614</v>
      </c>
      <c r="E1088" s="1945" t="s">
        <v>2615</v>
      </c>
      <c r="F1088" s="1945" t="s">
        <v>2637</v>
      </c>
      <c r="G1088" s="1946">
        <v>10430</v>
      </c>
      <c r="H1088" s="1946">
        <v>6029999</v>
      </c>
      <c r="I1088" s="1947" t="s">
        <v>2611</v>
      </c>
      <c r="J1088" s="2004">
        <f t="shared" si="3"/>
        <v>8390000</v>
      </c>
    </row>
    <row r="1089" spans="1:10" ht="15">
      <c r="A1089" s="1949" t="s">
        <v>2710</v>
      </c>
      <c r="B1089" s="1944" t="s">
        <v>2616</v>
      </c>
      <c r="C1089" s="1943">
        <v>13</v>
      </c>
      <c r="D1089" s="1944" t="s">
        <v>2617</v>
      </c>
      <c r="E1089" s="1944" t="s">
        <v>2619</v>
      </c>
      <c r="F1089" s="1945" t="s">
        <v>2637</v>
      </c>
      <c r="G1089" s="1946">
        <v>10430</v>
      </c>
      <c r="H1089" s="1946">
        <v>6029999</v>
      </c>
      <c r="I1089" s="1951" t="s">
        <v>2618</v>
      </c>
      <c r="J1089" s="2004">
        <f t="shared" si="3"/>
        <v>16580000</v>
      </c>
    </row>
    <row r="1090" spans="1:10" ht="15.75" thickBot="1">
      <c r="A1090" s="1954" t="s">
        <v>2710</v>
      </c>
      <c r="B1090" s="1955" t="s">
        <v>2620</v>
      </c>
      <c r="C1090" s="2010">
        <v>13</v>
      </c>
      <c r="D1090" s="1955" t="s">
        <v>2621</v>
      </c>
      <c r="E1090" s="1955" t="s">
        <v>2622</v>
      </c>
      <c r="F1090" s="1955" t="s">
        <v>2637</v>
      </c>
      <c r="G1090" s="1956">
        <v>10430</v>
      </c>
      <c r="H1090" s="1956">
        <v>6029999</v>
      </c>
      <c r="I1090" s="1958" t="s">
        <v>2618</v>
      </c>
      <c r="J1090" s="2004">
        <f t="shared" si="3"/>
        <v>12480000</v>
      </c>
    </row>
    <row r="1091" spans="1:10" ht="15.75" thickBot="1">
      <c r="A1091" s="2011"/>
      <c r="B1091" s="2012"/>
      <c r="C1091" s="2012"/>
      <c r="D1091" s="2012"/>
      <c r="E1091" s="2013"/>
      <c r="F1091" s="2012"/>
      <c r="G1091" s="2012" t="s">
        <v>2688</v>
      </c>
      <c r="H1091" s="2013"/>
      <c r="I1091" s="2014"/>
      <c r="J1091" s="2015">
        <f>SUM(J1092)</f>
        <v>3570580000</v>
      </c>
    </row>
    <row r="1092" spans="1:10" ht="15.75" thickBot="1">
      <c r="A1092" s="2016" t="s">
        <v>2710</v>
      </c>
      <c r="B1092" s="1967" t="s">
        <v>2316</v>
      </c>
      <c r="C1092" s="1968">
        <v>13</v>
      </c>
      <c r="D1092" s="1968" t="s">
        <v>2384</v>
      </c>
      <c r="E1092" s="2017" t="s">
        <v>2689</v>
      </c>
      <c r="F1092" s="1968" t="s">
        <v>2637</v>
      </c>
      <c r="G1092" s="1970">
        <v>10430</v>
      </c>
      <c r="H1092" s="1971">
        <v>6069999</v>
      </c>
      <c r="I1092" s="2018">
        <v>3535</v>
      </c>
      <c r="J1092" s="2019">
        <f>SUM(J1030:J1090)</f>
        <v>3570580000</v>
      </c>
    </row>
    <row r="1096" spans="1:10" ht="15">
      <c r="A1096" s="1919" t="s">
        <v>2300</v>
      </c>
      <c r="B1096" s="1920"/>
      <c r="C1096" s="1920"/>
      <c r="D1096" s="1920"/>
      <c r="E1096" s="1921"/>
      <c r="F1096" s="1920"/>
      <c r="G1096" s="1920"/>
      <c r="H1096" s="1921"/>
      <c r="I1096" s="1920"/>
      <c r="J1096" s="1922"/>
    </row>
    <row r="1097" spans="1:10" ht="15">
      <c r="A1097" s="1919" t="s">
        <v>27</v>
      </c>
      <c r="B1097" s="1920"/>
      <c r="C1097" s="1920"/>
      <c r="D1097" s="1920"/>
      <c r="E1097" s="1921"/>
      <c r="F1097" s="1920"/>
      <c r="G1097" s="1920"/>
      <c r="H1097" s="1921"/>
      <c r="I1097" s="1920"/>
      <c r="J1097" s="1922"/>
    </row>
    <row r="1098" spans="1:10" ht="15">
      <c r="A1098" s="1919"/>
      <c r="B1098" s="1920"/>
      <c r="C1098" s="1920"/>
      <c r="D1098" s="1920"/>
      <c r="E1098" s="1921" t="s">
        <v>2711</v>
      </c>
      <c r="F1098" s="1920"/>
      <c r="G1098" s="1920"/>
      <c r="H1098" s="1921"/>
      <c r="I1098" s="1920"/>
      <c r="J1098" s="1922"/>
    </row>
    <row r="1099" spans="1:10" ht="15.75" thickBot="1">
      <c r="A1099" s="1920"/>
      <c r="B1099" s="1920"/>
      <c r="C1099" s="1920"/>
      <c r="D1099" s="1920"/>
      <c r="E1099" s="1920"/>
      <c r="F1099" s="1920"/>
      <c r="G1099" s="1920"/>
      <c r="H1099" s="1920"/>
      <c r="I1099" s="1920"/>
      <c r="J1099" s="1922"/>
    </row>
    <row r="1100" spans="1:10" ht="45.75" thickBot="1">
      <c r="A1100" s="1923" t="s">
        <v>2303</v>
      </c>
      <c r="B1100" s="1924" t="s">
        <v>2304</v>
      </c>
      <c r="C1100" s="1923" t="s">
        <v>2305</v>
      </c>
      <c r="D1100" s="1924" t="s">
        <v>2699</v>
      </c>
      <c r="E1100" s="1925" t="s">
        <v>2306</v>
      </c>
      <c r="F1100" s="1923" t="s">
        <v>2307</v>
      </c>
      <c r="G1100" s="1924" t="s">
        <v>87</v>
      </c>
      <c r="H1100" s="1926" t="s">
        <v>2700</v>
      </c>
      <c r="I1100" s="1927" t="s">
        <v>2633</v>
      </c>
      <c r="J1100" s="2020" t="s">
        <v>2314</v>
      </c>
    </row>
    <row r="1101" spans="1:10" ht="15.75" thickBot="1">
      <c r="A1101" s="2866" t="s">
        <v>2636</v>
      </c>
      <c r="B1101" s="2867"/>
      <c r="C1101" s="2867"/>
      <c r="D1101" s="2867"/>
      <c r="E1101" s="2867"/>
      <c r="F1101" s="2867"/>
      <c r="G1101" s="2867"/>
      <c r="H1101" s="2867"/>
      <c r="I1101" s="2868"/>
      <c r="J1101" s="2021">
        <f>SUM(J1102:J1223)</f>
        <v>2125172000</v>
      </c>
    </row>
    <row r="1102" spans="1:10" ht="15">
      <c r="A1102" s="1935" t="s">
        <v>2417</v>
      </c>
      <c r="B1102" s="1936">
        <v>13</v>
      </c>
      <c r="C1102" s="1937" t="s">
        <v>2418</v>
      </c>
      <c r="D1102" s="1937" t="s">
        <v>2419</v>
      </c>
      <c r="E1102" s="1937" t="s">
        <v>2637</v>
      </c>
      <c r="F1102" s="1938">
        <v>10430</v>
      </c>
      <c r="G1102" s="1938">
        <v>6060000</v>
      </c>
      <c r="H1102" s="1939" t="s">
        <v>2387</v>
      </c>
      <c r="I1102" s="1940" t="s">
        <v>2361</v>
      </c>
      <c r="J1102" s="2022">
        <v>8600000</v>
      </c>
    </row>
    <row r="1103" spans="1:10" ht="15">
      <c r="A1103" s="1942" t="s">
        <v>2420</v>
      </c>
      <c r="B1103" s="1943">
        <v>13</v>
      </c>
      <c r="C1103" s="1944" t="s">
        <v>2421</v>
      </c>
      <c r="D1103" s="1945" t="s">
        <v>2422</v>
      </c>
      <c r="E1103" s="1945" t="s">
        <v>2637</v>
      </c>
      <c r="F1103" s="1946">
        <v>10430</v>
      </c>
      <c r="G1103" s="1946">
        <v>6060000</v>
      </c>
      <c r="H1103" s="1944" t="s">
        <v>2387</v>
      </c>
      <c r="I1103" s="1947" t="s">
        <v>2361</v>
      </c>
      <c r="J1103" s="2023">
        <v>2700000</v>
      </c>
    </row>
    <row r="1104" spans="1:10" ht="15">
      <c r="A1104" s="1949" t="s">
        <v>2423</v>
      </c>
      <c r="B1104" s="1943">
        <v>13</v>
      </c>
      <c r="C1104" s="1945" t="s">
        <v>2424</v>
      </c>
      <c r="D1104" s="1945" t="s">
        <v>2426</v>
      </c>
      <c r="E1104" s="1945" t="s">
        <v>2637</v>
      </c>
      <c r="F1104" s="1946">
        <v>10430</v>
      </c>
      <c r="G1104" s="1946">
        <v>6060000</v>
      </c>
      <c r="H1104" s="1944" t="s">
        <v>2387</v>
      </c>
      <c r="I1104" s="1947" t="s">
        <v>2425</v>
      </c>
      <c r="J1104" s="2023">
        <v>2560000</v>
      </c>
    </row>
    <row r="1105" spans="1:10" ht="15">
      <c r="A1105" s="1949" t="s">
        <v>2427</v>
      </c>
      <c r="B1105" s="1943">
        <v>13</v>
      </c>
      <c r="C1105" s="1945" t="s">
        <v>2428</v>
      </c>
      <c r="D1105" s="1945" t="s">
        <v>2429</v>
      </c>
      <c r="E1105" s="1945" t="s">
        <v>2637</v>
      </c>
      <c r="F1105" s="1946">
        <v>10430</v>
      </c>
      <c r="G1105" s="1946">
        <v>6060000</v>
      </c>
      <c r="H1105" s="1944" t="s">
        <v>2387</v>
      </c>
      <c r="I1105" s="1947" t="s">
        <v>2333</v>
      </c>
      <c r="J1105" s="2023">
        <v>4570000</v>
      </c>
    </row>
    <row r="1106" spans="1:10" ht="15">
      <c r="A1106" s="1949" t="s">
        <v>2331</v>
      </c>
      <c r="B1106" s="1943">
        <v>13</v>
      </c>
      <c r="C1106" s="1945" t="s">
        <v>2430</v>
      </c>
      <c r="D1106" s="1945" t="s">
        <v>2431</v>
      </c>
      <c r="E1106" s="1945" t="s">
        <v>2637</v>
      </c>
      <c r="F1106" s="1946">
        <v>10430</v>
      </c>
      <c r="G1106" s="1946">
        <v>6060000</v>
      </c>
      <c r="H1106" s="1944" t="s">
        <v>2387</v>
      </c>
      <c r="I1106" s="1947" t="s">
        <v>2333</v>
      </c>
      <c r="J1106" s="2023">
        <v>2510000</v>
      </c>
    </row>
    <row r="1107" spans="1:10" ht="15">
      <c r="A1107" s="1949">
        <v>106</v>
      </c>
      <c r="B1107" s="1943">
        <v>13</v>
      </c>
      <c r="C1107" s="1945">
        <v>2106001</v>
      </c>
      <c r="D1107" s="1945" t="s">
        <v>2432</v>
      </c>
      <c r="E1107" s="1945" t="s">
        <v>2637</v>
      </c>
      <c r="F1107" s="1946">
        <v>10430</v>
      </c>
      <c r="G1107" s="1946">
        <v>6060000</v>
      </c>
      <c r="H1107" s="1944" t="s">
        <v>2387</v>
      </c>
      <c r="I1107" s="1947" t="s">
        <v>2392</v>
      </c>
      <c r="J1107" s="2023">
        <v>70220000</v>
      </c>
    </row>
    <row r="1108" spans="1:10" ht="15">
      <c r="A1108" s="1949" t="s">
        <v>2433</v>
      </c>
      <c r="B1108" s="1943">
        <v>13</v>
      </c>
      <c r="C1108" s="1945" t="s">
        <v>2434</v>
      </c>
      <c r="D1108" s="1945" t="s">
        <v>2436</v>
      </c>
      <c r="E1108" s="1945" t="s">
        <v>2637</v>
      </c>
      <c r="F1108" s="1946">
        <v>10430</v>
      </c>
      <c r="G1108" s="1946">
        <v>6060000</v>
      </c>
      <c r="H1108" s="1944" t="s">
        <v>2387</v>
      </c>
      <c r="I1108" s="1947" t="s">
        <v>2435</v>
      </c>
      <c r="J1108" s="2023">
        <v>20170000</v>
      </c>
    </row>
    <row r="1109" spans="1:10" ht="15">
      <c r="A1109" s="1949" t="s">
        <v>2437</v>
      </c>
      <c r="B1109" s="1943">
        <v>13</v>
      </c>
      <c r="C1109" s="1945" t="s">
        <v>2438</v>
      </c>
      <c r="D1109" s="1945" t="s">
        <v>2440</v>
      </c>
      <c r="E1109" s="1945" t="s">
        <v>2637</v>
      </c>
      <c r="F1109" s="1946">
        <v>10430</v>
      </c>
      <c r="G1109" s="1946">
        <v>6060000</v>
      </c>
      <c r="H1109" s="1944" t="s">
        <v>2387</v>
      </c>
      <c r="I1109" s="1950" t="s">
        <v>2439</v>
      </c>
      <c r="J1109" s="2023">
        <v>20100000</v>
      </c>
    </row>
    <row r="1110" spans="1:10" ht="15">
      <c r="A1110" s="1949" t="s">
        <v>2441</v>
      </c>
      <c r="B1110" s="1943">
        <v>13</v>
      </c>
      <c r="C1110" s="1945" t="s">
        <v>2442</v>
      </c>
      <c r="D1110" s="1945" t="s">
        <v>2443</v>
      </c>
      <c r="E1110" s="1945" t="s">
        <v>2637</v>
      </c>
      <c r="F1110" s="1946">
        <v>10430</v>
      </c>
      <c r="G1110" s="1946">
        <v>6060000</v>
      </c>
      <c r="H1110" s="1944" t="s">
        <v>2387</v>
      </c>
      <c r="I1110" s="1950" t="s">
        <v>2439</v>
      </c>
      <c r="J1110" s="2023">
        <v>18300000</v>
      </c>
    </row>
    <row r="1111" spans="1:10" ht="15">
      <c r="A1111" s="1949" t="s">
        <v>2444</v>
      </c>
      <c r="B1111" s="1943">
        <v>13</v>
      </c>
      <c r="C1111" s="1945" t="s">
        <v>2445</v>
      </c>
      <c r="D1111" s="1945" t="s">
        <v>2446</v>
      </c>
      <c r="E1111" s="1945" t="s">
        <v>2637</v>
      </c>
      <c r="F1111" s="1946">
        <v>10430</v>
      </c>
      <c r="G1111" s="1946">
        <v>6060000</v>
      </c>
      <c r="H1111" s="1944" t="s">
        <v>2387</v>
      </c>
      <c r="I1111" s="1947" t="s">
        <v>2349</v>
      </c>
      <c r="J1111" s="2023">
        <v>1680000</v>
      </c>
    </row>
    <row r="1112" spans="1:10" ht="15">
      <c r="A1112" s="1949" t="s">
        <v>2447</v>
      </c>
      <c r="B1112" s="1943">
        <v>13</v>
      </c>
      <c r="C1112" s="1945" t="s">
        <v>2448</v>
      </c>
      <c r="D1112" s="1945" t="s">
        <v>2449</v>
      </c>
      <c r="E1112" s="1945" t="s">
        <v>2637</v>
      </c>
      <c r="F1112" s="1946">
        <v>10430</v>
      </c>
      <c r="G1112" s="1946">
        <v>6060000</v>
      </c>
      <c r="H1112" s="1944" t="s">
        <v>2387</v>
      </c>
      <c r="I1112" s="1947" t="s">
        <v>2349</v>
      </c>
      <c r="J1112" s="2023">
        <v>770000</v>
      </c>
    </row>
    <row r="1113" spans="1:10" ht="15">
      <c r="A1113" s="1949" t="s">
        <v>2450</v>
      </c>
      <c r="B1113" s="1943">
        <v>13</v>
      </c>
      <c r="C1113" s="1945" t="s">
        <v>2451</v>
      </c>
      <c r="D1113" s="1945" t="s">
        <v>2453</v>
      </c>
      <c r="E1113" s="1945" t="s">
        <v>2637</v>
      </c>
      <c r="F1113" s="1946">
        <v>10430</v>
      </c>
      <c r="G1113" s="1946">
        <v>6060000</v>
      </c>
      <c r="H1113" s="1944" t="s">
        <v>2387</v>
      </c>
      <c r="I1113" s="1947" t="s">
        <v>2452</v>
      </c>
      <c r="J1113" s="2023">
        <v>4820000</v>
      </c>
    </row>
    <row r="1114" spans="1:10" ht="15">
      <c r="A1114" s="1949" t="s">
        <v>2454</v>
      </c>
      <c r="B1114" s="1943">
        <v>13</v>
      </c>
      <c r="C1114" s="1945" t="s">
        <v>2455</v>
      </c>
      <c r="D1114" s="1945" t="s">
        <v>2456</v>
      </c>
      <c r="E1114" s="1945" t="s">
        <v>2637</v>
      </c>
      <c r="F1114" s="1946">
        <v>10430</v>
      </c>
      <c r="G1114" s="1946">
        <v>6060000</v>
      </c>
      <c r="H1114" s="1944" t="s">
        <v>2387</v>
      </c>
      <c r="I1114" s="1947" t="s">
        <v>2397</v>
      </c>
      <c r="J1114" s="2023">
        <v>61270000</v>
      </c>
    </row>
    <row r="1115" spans="1:10" ht="15">
      <c r="A1115" s="1949" t="s">
        <v>2457</v>
      </c>
      <c r="B1115" s="1943">
        <v>13</v>
      </c>
      <c r="C1115" s="1945" t="s">
        <v>2458</v>
      </c>
      <c r="D1115" s="1945" t="s">
        <v>2459</v>
      </c>
      <c r="E1115" s="1945" t="s">
        <v>2637</v>
      </c>
      <c r="F1115" s="1946">
        <v>10430</v>
      </c>
      <c r="G1115" s="1946">
        <v>6060000</v>
      </c>
      <c r="H1115" s="1944" t="s">
        <v>2387</v>
      </c>
      <c r="I1115" s="1947" t="s">
        <v>2397</v>
      </c>
      <c r="J1115" s="2023">
        <v>6890000</v>
      </c>
    </row>
    <row r="1116" spans="1:10" ht="15">
      <c r="A1116" s="1949" t="s">
        <v>2460</v>
      </c>
      <c r="B1116" s="1943">
        <v>13</v>
      </c>
      <c r="C1116" s="1945" t="s">
        <v>2461</v>
      </c>
      <c r="D1116" s="1945" t="s">
        <v>2462</v>
      </c>
      <c r="E1116" s="1945" t="s">
        <v>2637</v>
      </c>
      <c r="F1116" s="1946">
        <v>10430</v>
      </c>
      <c r="G1116" s="1946">
        <v>6060000</v>
      </c>
      <c r="H1116" s="1944" t="s">
        <v>2387</v>
      </c>
      <c r="I1116" s="1947" t="s">
        <v>2397</v>
      </c>
      <c r="J1116" s="2023">
        <v>9250000</v>
      </c>
    </row>
    <row r="1117" spans="1:10" ht="15">
      <c r="A1117" s="1949" t="s">
        <v>2463</v>
      </c>
      <c r="B1117" s="1943">
        <v>13</v>
      </c>
      <c r="C1117" s="1945" t="s">
        <v>2464</v>
      </c>
      <c r="D1117" s="1945" t="s">
        <v>2466</v>
      </c>
      <c r="E1117" s="1945" t="s">
        <v>2637</v>
      </c>
      <c r="F1117" s="1946">
        <v>10430</v>
      </c>
      <c r="G1117" s="1946">
        <v>6060000</v>
      </c>
      <c r="H1117" s="1944" t="s">
        <v>2387</v>
      </c>
      <c r="I1117" s="1947" t="s">
        <v>2465</v>
      </c>
      <c r="J1117" s="2023">
        <v>25030000</v>
      </c>
    </row>
    <row r="1118" spans="1:10" ht="15">
      <c r="A1118" s="1949" t="s">
        <v>2467</v>
      </c>
      <c r="B1118" s="1943">
        <v>13</v>
      </c>
      <c r="C1118" s="1945" t="s">
        <v>2468</v>
      </c>
      <c r="D1118" s="1945" t="s">
        <v>2470</v>
      </c>
      <c r="E1118" s="1945" t="s">
        <v>2637</v>
      </c>
      <c r="F1118" s="1946">
        <v>10430</v>
      </c>
      <c r="G1118" s="1946">
        <v>6060000</v>
      </c>
      <c r="H1118" s="1944" t="s">
        <v>2387</v>
      </c>
      <c r="I1118" s="1947" t="s">
        <v>2469</v>
      </c>
      <c r="J1118" s="2023">
        <v>25330000</v>
      </c>
    </row>
    <row r="1119" spans="1:10" ht="15">
      <c r="A1119" s="1949" t="s">
        <v>2471</v>
      </c>
      <c r="B1119" s="1943">
        <v>13</v>
      </c>
      <c r="C1119" s="1945" t="s">
        <v>2472</v>
      </c>
      <c r="D1119" s="1945" t="s">
        <v>2474</v>
      </c>
      <c r="E1119" s="1945" t="s">
        <v>2637</v>
      </c>
      <c r="F1119" s="1946">
        <v>10430</v>
      </c>
      <c r="G1119" s="1946">
        <v>6060000</v>
      </c>
      <c r="H1119" s="1944" t="s">
        <v>2387</v>
      </c>
      <c r="I1119" s="1947" t="s">
        <v>2473</v>
      </c>
      <c r="J1119" s="2023">
        <v>32890000</v>
      </c>
    </row>
    <row r="1120" spans="1:10" ht="15">
      <c r="A1120" s="1949" t="s">
        <v>2475</v>
      </c>
      <c r="B1120" s="1943">
        <v>13</v>
      </c>
      <c r="C1120" s="1945" t="s">
        <v>2476</v>
      </c>
      <c r="D1120" s="1945" t="s">
        <v>2477</v>
      </c>
      <c r="E1120" s="1945" t="s">
        <v>2637</v>
      </c>
      <c r="F1120" s="1946">
        <v>10430</v>
      </c>
      <c r="G1120" s="1946">
        <v>6060000</v>
      </c>
      <c r="H1120" s="1944" t="s">
        <v>2387</v>
      </c>
      <c r="I1120" s="1947" t="s">
        <v>2473</v>
      </c>
      <c r="J1120" s="2023">
        <v>29680000</v>
      </c>
    </row>
    <row r="1121" spans="1:10" ht="15">
      <c r="A1121" s="1949" t="s">
        <v>2478</v>
      </c>
      <c r="B1121" s="1943">
        <v>13</v>
      </c>
      <c r="C1121" s="1945" t="s">
        <v>2479</v>
      </c>
      <c r="D1121" s="1945" t="s">
        <v>2480</v>
      </c>
      <c r="E1121" s="1945" t="s">
        <v>2637</v>
      </c>
      <c r="F1121" s="1946">
        <v>10430</v>
      </c>
      <c r="G1121" s="1946">
        <v>6060000</v>
      </c>
      <c r="H1121" s="1944" t="s">
        <v>2387</v>
      </c>
      <c r="I1121" s="1947" t="s">
        <v>2325</v>
      </c>
      <c r="J1121" s="2023">
        <v>6280000</v>
      </c>
    </row>
    <row r="1122" spans="1:10" ht="15">
      <c r="A1122" s="1949" t="s">
        <v>2481</v>
      </c>
      <c r="B1122" s="1943">
        <v>13</v>
      </c>
      <c r="C1122" s="1945" t="s">
        <v>2482</v>
      </c>
      <c r="D1122" s="1945" t="s">
        <v>2483</v>
      </c>
      <c r="E1122" s="1945" t="s">
        <v>2637</v>
      </c>
      <c r="F1122" s="1946">
        <v>10430</v>
      </c>
      <c r="G1122" s="1946">
        <v>6060000</v>
      </c>
      <c r="H1122" s="1944" t="s">
        <v>2387</v>
      </c>
      <c r="I1122" s="1947" t="s">
        <v>2325</v>
      </c>
      <c r="J1122" s="2023">
        <v>2140000</v>
      </c>
    </row>
    <row r="1123" spans="1:10" ht="15">
      <c r="A1123" s="1949" t="s">
        <v>2484</v>
      </c>
      <c r="B1123" s="1943">
        <v>13</v>
      </c>
      <c r="C1123" s="1945" t="s">
        <v>2485</v>
      </c>
      <c r="D1123" s="1945" t="s">
        <v>2486</v>
      </c>
      <c r="E1123" s="1945" t="s">
        <v>2637</v>
      </c>
      <c r="F1123" s="1946">
        <v>10430</v>
      </c>
      <c r="G1123" s="1946">
        <v>6060000</v>
      </c>
      <c r="H1123" s="1944" t="s">
        <v>2387</v>
      </c>
      <c r="I1123" s="1947" t="s">
        <v>2325</v>
      </c>
      <c r="J1123" s="2023">
        <v>2580000</v>
      </c>
    </row>
    <row r="1124" spans="1:10" ht="15">
      <c r="A1124" s="1949" t="s">
        <v>2487</v>
      </c>
      <c r="B1124" s="1943">
        <v>13</v>
      </c>
      <c r="C1124" s="1945" t="s">
        <v>2488</v>
      </c>
      <c r="D1124" s="1945" t="s">
        <v>2490</v>
      </c>
      <c r="E1124" s="1945" t="s">
        <v>2637</v>
      </c>
      <c r="F1124" s="1946">
        <v>10430</v>
      </c>
      <c r="G1124" s="1946">
        <v>6060000</v>
      </c>
      <c r="H1124" s="1944" t="s">
        <v>2387</v>
      </c>
      <c r="I1124" s="1947" t="s">
        <v>2489</v>
      </c>
      <c r="J1124" s="2023">
        <v>4360000</v>
      </c>
    </row>
    <row r="1125" spans="1:10" ht="15">
      <c r="A1125" s="1949" t="s">
        <v>2491</v>
      </c>
      <c r="B1125" s="1943">
        <v>13</v>
      </c>
      <c r="C1125" s="1945" t="s">
        <v>2492</v>
      </c>
      <c r="D1125" s="1945" t="s">
        <v>2493</v>
      </c>
      <c r="E1125" s="1945" t="s">
        <v>2637</v>
      </c>
      <c r="F1125" s="1946">
        <v>10430</v>
      </c>
      <c r="G1125" s="1946">
        <v>6060000</v>
      </c>
      <c r="H1125" s="1944" t="s">
        <v>2387</v>
      </c>
      <c r="I1125" s="1947" t="s">
        <v>2489</v>
      </c>
      <c r="J1125" s="2023">
        <v>2610000</v>
      </c>
    </row>
    <row r="1126" spans="1:10" ht="15">
      <c r="A1126" s="1949" t="s">
        <v>2494</v>
      </c>
      <c r="B1126" s="1943">
        <v>13</v>
      </c>
      <c r="C1126" s="1945" t="s">
        <v>2495</v>
      </c>
      <c r="D1126" s="1945" t="s">
        <v>2497</v>
      </c>
      <c r="E1126" s="1945" t="s">
        <v>2637</v>
      </c>
      <c r="F1126" s="1946">
        <v>10430</v>
      </c>
      <c r="G1126" s="1946">
        <v>6060000</v>
      </c>
      <c r="H1126" s="1944" t="s">
        <v>2387</v>
      </c>
      <c r="I1126" s="1947" t="s">
        <v>2496</v>
      </c>
      <c r="J1126" s="2023">
        <v>7070000</v>
      </c>
    </row>
    <row r="1127" spans="1:10" ht="15">
      <c r="A1127" s="1949" t="s">
        <v>148</v>
      </c>
      <c r="B1127" s="1943">
        <v>13</v>
      </c>
      <c r="C1127" s="1945" t="s">
        <v>2498</v>
      </c>
      <c r="D1127" s="1945" t="s">
        <v>2500</v>
      </c>
      <c r="E1127" s="1945" t="s">
        <v>2637</v>
      </c>
      <c r="F1127" s="1946">
        <v>10430</v>
      </c>
      <c r="G1127" s="1946">
        <v>6060000</v>
      </c>
      <c r="H1127" s="1944" t="s">
        <v>2387</v>
      </c>
      <c r="I1127" s="1947" t="s">
        <v>2499</v>
      </c>
      <c r="J1127" s="2023">
        <v>740000</v>
      </c>
    </row>
    <row r="1128" spans="1:10" ht="15">
      <c r="A1128" s="1949" t="s">
        <v>2501</v>
      </c>
      <c r="B1128" s="1943">
        <v>13</v>
      </c>
      <c r="C1128" s="1945" t="s">
        <v>2502</v>
      </c>
      <c r="D1128" s="1945" t="s">
        <v>2503</v>
      </c>
      <c r="E1128" s="1945" t="s">
        <v>2637</v>
      </c>
      <c r="F1128" s="1946">
        <v>10430</v>
      </c>
      <c r="G1128" s="1946">
        <v>6060000</v>
      </c>
      <c r="H1128" s="1944" t="s">
        <v>2387</v>
      </c>
      <c r="I1128" s="1947" t="s">
        <v>2499</v>
      </c>
      <c r="J1128" s="2023">
        <v>120000</v>
      </c>
    </row>
    <row r="1129" spans="1:10" ht="15">
      <c r="A1129" s="1949" t="s">
        <v>2504</v>
      </c>
      <c r="B1129" s="1943">
        <v>13</v>
      </c>
      <c r="C1129" s="1945" t="s">
        <v>2505</v>
      </c>
      <c r="D1129" s="1945" t="s">
        <v>2507</v>
      </c>
      <c r="E1129" s="1945" t="s">
        <v>2637</v>
      </c>
      <c r="F1129" s="1946">
        <v>10430</v>
      </c>
      <c r="G1129" s="1946">
        <v>6060000</v>
      </c>
      <c r="H1129" s="1944" t="s">
        <v>2387</v>
      </c>
      <c r="I1129" s="1947" t="s">
        <v>2506</v>
      </c>
      <c r="J1129" s="2023">
        <v>2440000</v>
      </c>
    </row>
    <row r="1130" spans="1:10" ht="15">
      <c r="A1130" s="1949" t="s">
        <v>2508</v>
      </c>
      <c r="B1130" s="1943">
        <v>13</v>
      </c>
      <c r="C1130" s="1945" t="s">
        <v>2509</v>
      </c>
      <c r="D1130" s="1945" t="s">
        <v>2510</v>
      </c>
      <c r="E1130" s="1945" t="s">
        <v>2637</v>
      </c>
      <c r="F1130" s="1946">
        <v>10430</v>
      </c>
      <c r="G1130" s="1946">
        <v>6060000</v>
      </c>
      <c r="H1130" s="1944" t="s">
        <v>2387</v>
      </c>
      <c r="I1130" s="1947" t="s">
        <v>2506</v>
      </c>
      <c r="J1130" s="2023">
        <v>3370000</v>
      </c>
    </row>
    <row r="1131" spans="1:10" ht="15">
      <c r="A1131" s="1949" t="s">
        <v>2511</v>
      </c>
      <c r="B1131" s="1943">
        <v>13</v>
      </c>
      <c r="C1131" s="1945" t="s">
        <v>2512</v>
      </c>
      <c r="D1131" s="1945" t="s">
        <v>2514</v>
      </c>
      <c r="E1131" s="1945" t="s">
        <v>2637</v>
      </c>
      <c r="F1131" s="1946">
        <v>10430</v>
      </c>
      <c r="G1131" s="1946">
        <v>6060000</v>
      </c>
      <c r="H1131" s="1944" t="s">
        <v>2387</v>
      </c>
      <c r="I1131" s="1947" t="s">
        <v>2513</v>
      </c>
      <c r="J1131" s="2023">
        <v>860000</v>
      </c>
    </row>
    <row r="1132" spans="1:10" ht="15">
      <c r="A1132" s="1949" t="s">
        <v>2515</v>
      </c>
      <c r="B1132" s="1943">
        <v>13</v>
      </c>
      <c r="C1132" s="1945" t="s">
        <v>2516</v>
      </c>
      <c r="D1132" s="1945" t="s">
        <v>2517</v>
      </c>
      <c r="E1132" s="1945" t="s">
        <v>2637</v>
      </c>
      <c r="F1132" s="1946">
        <v>10430</v>
      </c>
      <c r="G1132" s="1946">
        <v>6060000</v>
      </c>
      <c r="H1132" s="1944" t="s">
        <v>2387</v>
      </c>
      <c r="I1132" s="1947" t="s">
        <v>2513</v>
      </c>
      <c r="J1132" s="2023">
        <v>1960000</v>
      </c>
    </row>
    <row r="1133" spans="1:10" ht="15">
      <c r="A1133" s="1942" t="s">
        <v>2518</v>
      </c>
      <c r="B1133" s="1943">
        <v>13</v>
      </c>
      <c r="C1133" s="1944" t="s">
        <v>2519</v>
      </c>
      <c r="D1133" s="1944" t="s">
        <v>2520</v>
      </c>
      <c r="E1133" s="1945" t="s">
        <v>2637</v>
      </c>
      <c r="F1133" s="1946">
        <v>10430</v>
      </c>
      <c r="G1133" s="1946">
        <v>6060000</v>
      </c>
      <c r="H1133" s="1944" t="s">
        <v>2387</v>
      </c>
      <c r="I1133" s="1951" t="s">
        <v>2499</v>
      </c>
      <c r="J1133" s="2024">
        <v>0</v>
      </c>
    </row>
    <row r="1134" spans="1:10" ht="15">
      <c r="A1134" s="1949" t="s">
        <v>2521</v>
      </c>
      <c r="B1134" s="1943">
        <v>13</v>
      </c>
      <c r="C1134" s="1945" t="s">
        <v>2522</v>
      </c>
      <c r="D1134" s="1945" t="s">
        <v>2524</v>
      </c>
      <c r="E1134" s="1945" t="s">
        <v>2637</v>
      </c>
      <c r="F1134" s="1946">
        <v>10430</v>
      </c>
      <c r="G1134" s="1946">
        <v>6060000</v>
      </c>
      <c r="H1134" s="1944" t="s">
        <v>2387</v>
      </c>
      <c r="I1134" s="1947" t="s">
        <v>2523</v>
      </c>
      <c r="J1134" s="2023">
        <v>5480000</v>
      </c>
    </row>
    <row r="1135" spans="1:10" ht="15">
      <c r="A1135" s="1949" t="s">
        <v>2525</v>
      </c>
      <c r="B1135" s="1943">
        <v>13</v>
      </c>
      <c r="C1135" s="1945" t="s">
        <v>2526</v>
      </c>
      <c r="D1135" s="1945" t="s">
        <v>2527</v>
      </c>
      <c r="E1135" s="1945" t="s">
        <v>2637</v>
      </c>
      <c r="F1135" s="1946">
        <v>10430</v>
      </c>
      <c r="G1135" s="1946">
        <v>6060000</v>
      </c>
      <c r="H1135" s="1944" t="s">
        <v>2387</v>
      </c>
      <c r="I1135" s="1947" t="s">
        <v>2523</v>
      </c>
      <c r="J1135" s="2023">
        <v>20580000</v>
      </c>
    </row>
    <row r="1136" spans="1:10" ht="15">
      <c r="A1136" s="1942" t="s">
        <v>2528</v>
      </c>
      <c r="B1136" s="1943">
        <v>13</v>
      </c>
      <c r="C1136" s="1944" t="s">
        <v>2529</v>
      </c>
      <c r="D1136" s="1944" t="s">
        <v>2530</v>
      </c>
      <c r="E1136" s="1945" t="s">
        <v>2637</v>
      </c>
      <c r="F1136" s="1946">
        <v>10430</v>
      </c>
      <c r="G1136" s="1946">
        <v>6060000</v>
      </c>
      <c r="H1136" s="1944" t="s">
        <v>2387</v>
      </c>
      <c r="I1136" s="1951" t="s">
        <v>2523</v>
      </c>
      <c r="J1136" s="2023">
        <v>290000</v>
      </c>
    </row>
    <row r="1137" spans="1:10" ht="15">
      <c r="A1137" s="1949" t="s">
        <v>2531</v>
      </c>
      <c r="B1137" s="1943">
        <v>13</v>
      </c>
      <c r="C1137" s="1945" t="s">
        <v>2532</v>
      </c>
      <c r="D1137" s="1945" t="s">
        <v>2534</v>
      </c>
      <c r="E1137" s="1945" t="s">
        <v>2637</v>
      </c>
      <c r="F1137" s="1946">
        <v>10430</v>
      </c>
      <c r="G1137" s="1946">
        <v>6060000</v>
      </c>
      <c r="H1137" s="1944" t="s">
        <v>2387</v>
      </c>
      <c r="I1137" s="1947" t="s">
        <v>2533</v>
      </c>
      <c r="J1137" s="2023">
        <v>3100000</v>
      </c>
    </row>
    <row r="1138" spans="1:10" ht="15">
      <c r="A1138" s="1949" t="s">
        <v>2535</v>
      </c>
      <c r="B1138" s="1943">
        <v>13</v>
      </c>
      <c r="C1138" s="1945" t="s">
        <v>2536</v>
      </c>
      <c r="D1138" s="1945" t="s">
        <v>2538</v>
      </c>
      <c r="E1138" s="1945" t="s">
        <v>2637</v>
      </c>
      <c r="F1138" s="1946">
        <v>10430</v>
      </c>
      <c r="G1138" s="1946">
        <v>6060000</v>
      </c>
      <c r="H1138" s="1944" t="s">
        <v>2387</v>
      </c>
      <c r="I1138" s="1947" t="s">
        <v>2537</v>
      </c>
      <c r="J1138" s="2023">
        <v>8780000</v>
      </c>
    </row>
    <row r="1139" spans="1:10" ht="15">
      <c r="A1139" s="1949" t="s">
        <v>2539</v>
      </c>
      <c r="B1139" s="1943">
        <v>13</v>
      </c>
      <c r="C1139" s="1945" t="s">
        <v>2540</v>
      </c>
      <c r="D1139" s="1945" t="s">
        <v>2542</v>
      </c>
      <c r="E1139" s="1945" t="s">
        <v>2637</v>
      </c>
      <c r="F1139" s="1946">
        <v>10430</v>
      </c>
      <c r="G1139" s="1946">
        <v>6060000</v>
      </c>
      <c r="H1139" s="1944" t="s">
        <v>2387</v>
      </c>
      <c r="I1139" s="1947" t="s">
        <v>2541</v>
      </c>
      <c r="J1139" s="2023">
        <v>45810000</v>
      </c>
    </row>
    <row r="1140" spans="1:10" ht="15">
      <c r="A1140" s="1949" t="s">
        <v>2701</v>
      </c>
      <c r="B1140" s="1943">
        <v>13</v>
      </c>
      <c r="C1140" s="1945" t="s">
        <v>2543</v>
      </c>
      <c r="D1140" s="1945" t="s">
        <v>2545</v>
      </c>
      <c r="E1140" s="1945" t="s">
        <v>2637</v>
      </c>
      <c r="F1140" s="1946">
        <v>10430</v>
      </c>
      <c r="G1140" s="1946">
        <v>6060000</v>
      </c>
      <c r="H1140" s="1944" t="s">
        <v>2387</v>
      </c>
      <c r="I1140" s="1947" t="s">
        <v>2544</v>
      </c>
      <c r="J1140" s="2023">
        <v>57470000</v>
      </c>
    </row>
    <row r="1141" spans="1:10" ht="15">
      <c r="A1141" s="1949" t="s">
        <v>2546</v>
      </c>
      <c r="B1141" s="1943">
        <v>13</v>
      </c>
      <c r="C1141" s="1945" t="s">
        <v>2547</v>
      </c>
      <c r="D1141" s="1945" t="s">
        <v>2549</v>
      </c>
      <c r="E1141" s="1945" t="s">
        <v>2637</v>
      </c>
      <c r="F1141" s="1946">
        <v>10430</v>
      </c>
      <c r="G1141" s="1946">
        <v>6060000</v>
      </c>
      <c r="H1141" s="1944" t="s">
        <v>2387</v>
      </c>
      <c r="I1141" s="1947" t="s">
        <v>2548</v>
      </c>
      <c r="J1141" s="2023">
        <v>23330000</v>
      </c>
    </row>
    <row r="1142" spans="1:10" ht="15">
      <c r="A1142" s="1949" t="s">
        <v>2550</v>
      </c>
      <c r="B1142" s="1943">
        <v>13</v>
      </c>
      <c r="C1142" s="1945" t="s">
        <v>2551</v>
      </c>
      <c r="D1142" s="1945" t="s">
        <v>2553</v>
      </c>
      <c r="E1142" s="1945" t="s">
        <v>2637</v>
      </c>
      <c r="F1142" s="1946">
        <v>10430</v>
      </c>
      <c r="G1142" s="1946">
        <v>6060000</v>
      </c>
      <c r="H1142" s="1944" t="s">
        <v>2387</v>
      </c>
      <c r="I1142" s="1947" t="s">
        <v>2552</v>
      </c>
      <c r="J1142" s="2023">
        <v>18620000</v>
      </c>
    </row>
    <row r="1143" spans="1:10" ht="15">
      <c r="A1143" s="1949" t="s">
        <v>2554</v>
      </c>
      <c r="B1143" s="1943">
        <v>13</v>
      </c>
      <c r="C1143" s="1945" t="s">
        <v>2555</v>
      </c>
      <c r="D1143" s="1945" t="s">
        <v>2557</v>
      </c>
      <c r="E1143" s="1945" t="s">
        <v>2637</v>
      </c>
      <c r="F1143" s="1946">
        <v>10430</v>
      </c>
      <c r="G1143" s="1946">
        <v>6060000</v>
      </c>
      <c r="H1143" s="1944" t="s">
        <v>2387</v>
      </c>
      <c r="I1143" s="1947" t="s">
        <v>2556</v>
      </c>
      <c r="J1143" s="2023">
        <v>10550000</v>
      </c>
    </row>
    <row r="1144" spans="1:10" ht="15">
      <c r="A1144" s="1949" t="s">
        <v>2558</v>
      </c>
      <c r="B1144" s="1943">
        <v>13</v>
      </c>
      <c r="C1144" s="1945" t="s">
        <v>2559</v>
      </c>
      <c r="D1144" s="1945" t="s">
        <v>2561</v>
      </c>
      <c r="E1144" s="1945" t="s">
        <v>2637</v>
      </c>
      <c r="F1144" s="1946">
        <v>10430</v>
      </c>
      <c r="G1144" s="1946">
        <v>6060000</v>
      </c>
      <c r="H1144" s="1944" t="s">
        <v>2387</v>
      </c>
      <c r="I1144" s="1947" t="s">
        <v>2560</v>
      </c>
      <c r="J1144" s="2023">
        <v>10820000</v>
      </c>
    </row>
    <row r="1145" spans="1:10" ht="15">
      <c r="A1145" s="1949" t="s">
        <v>2562</v>
      </c>
      <c r="B1145" s="1943">
        <v>13</v>
      </c>
      <c r="C1145" s="1945" t="s">
        <v>2563</v>
      </c>
      <c r="D1145" s="1945" t="s">
        <v>2565</v>
      </c>
      <c r="E1145" s="1945" t="s">
        <v>2637</v>
      </c>
      <c r="F1145" s="1946">
        <v>10430</v>
      </c>
      <c r="G1145" s="1946">
        <v>6060000</v>
      </c>
      <c r="H1145" s="1944" t="s">
        <v>2387</v>
      </c>
      <c r="I1145" s="1947" t="s">
        <v>2564</v>
      </c>
      <c r="J1145" s="2023">
        <v>10100000</v>
      </c>
    </row>
    <row r="1146" spans="1:10" ht="15">
      <c r="A1146" s="1949" t="s">
        <v>2566</v>
      </c>
      <c r="B1146" s="1943">
        <v>13</v>
      </c>
      <c r="C1146" s="1945" t="s">
        <v>2567</v>
      </c>
      <c r="D1146" s="1945" t="s">
        <v>2569</v>
      </c>
      <c r="E1146" s="1945" t="s">
        <v>2637</v>
      </c>
      <c r="F1146" s="1946">
        <v>10430</v>
      </c>
      <c r="G1146" s="1946">
        <v>6060000</v>
      </c>
      <c r="H1146" s="1944" t="s">
        <v>2387</v>
      </c>
      <c r="I1146" s="1947" t="s">
        <v>2568</v>
      </c>
      <c r="J1146" s="2023">
        <v>9210000</v>
      </c>
    </row>
    <row r="1147" spans="1:10" ht="15">
      <c r="A1147" s="1949" t="s">
        <v>2570</v>
      </c>
      <c r="B1147" s="1943">
        <v>13</v>
      </c>
      <c r="C1147" s="1945" t="s">
        <v>2571</v>
      </c>
      <c r="D1147" s="1945" t="s">
        <v>2573</v>
      </c>
      <c r="E1147" s="1945" t="s">
        <v>2637</v>
      </c>
      <c r="F1147" s="1946">
        <v>10430</v>
      </c>
      <c r="G1147" s="1946">
        <v>6060000</v>
      </c>
      <c r="H1147" s="1944" t="s">
        <v>2387</v>
      </c>
      <c r="I1147" s="1947" t="s">
        <v>2572</v>
      </c>
      <c r="J1147" s="2023">
        <v>18740000</v>
      </c>
    </row>
    <row r="1148" spans="1:10" ht="15">
      <c r="A1148" s="1949" t="s">
        <v>2574</v>
      </c>
      <c r="B1148" s="1943">
        <v>13</v>
      </c>
      <c r="C1148" s="1945" t="s">
        <v>2575</v>
      </c>
      <c r="D1148" s="1945" t="s">
        <v>2576</v>
      </c>
      <c r="E1148" s="1945" t="s">
        <v>2637</v>
      </c>
      <c r="F1148" s="1946">
        <v>10430</v>
      </c>
      <c r="G1148" s="1946">
        <v>6060000</v>
      </c>
      <c r="H1148" s="1944" t="s">
        <v>2387</v>
      </c>
      <c r="I1148" s="1947" t="s">
        <v>2572</v>
      </c>
      <c r="J1148" s="2023">
        <v>11250000</v>
      </c>
    </row>
    <row r="1149" spans="1:10" ht="15">
      <c r="A1149" s="1949" t="s">
        <v>2577</v>
      </c>
      <c r="B1149" s="1943">
        <v>13</v>
      </c>
      <c r="C1149" s="1945" t="s">
        <v>2578</v>
      </c>
      <c r="D1149" s="1945" t="s">
        <v>2580</v>
      </c>
      <c r="E1149" s="1945" t="s">
        <v>2637</v>
      </c>
      <c r="F1149" s="1946">
        <v>10430</v>
      </c>
      <c r="G1149" s="1946">
        <v>6060000</v>
      </c>
      <c r="H1149" s="1944" t="s">
        <v>2387</v>
      </c>
      <c r="I1149" s="1947" t="s">
        <v>2579</v>
      </c>
      <c r="J1149" s="2023">
        <v>4860000</v>
      </c>
    </row>
    <row r="1150" spans="1:10" ht="15">
      <c r="A1150" s="1949" t="s">
        <v>2581</v>
      </c>
      <c r="B1150" s="1943">
        <v>13</v>
      </c>
      <c r="C1150" s="1945" t="s">
        <v>2582</v>
      </c>
      <c r="D1150" s="1945" t="s">
        <v>2583</v>
      </c>
      <c r="E1150" s="1945" t="s">
        <v>2637</v>
      </c>
      <c r="F1150" s="1946">
        <v>10430</v>
      </c>
      <c r="G1150" s="1946">
        <v>6060000</v>
      </c>
      <c r="H1150" s="1944" t="s">
        <v>2387</v>
      </c>
      <c r="I1150" s="1947" t="s">
        <v>2579</v>
      </c>
      <c r="J1150" s="2023">
        <v>5490000</v>
      </c>
    </row>
    <row r="1151" spans="1:10" ht="15">
      <c r="A1151" s="1949" t="s">
        <v>2584</v>
      </c>
      <c r="B1151" s="1943">
        <v>13</v>
      </c>
      <c r="C1151" s="1945" t="s">
        <v>2585</v>
      </c>
      <c r="D1151" s="1945" t="s">
        <v>2586</v>
      </c>
      <c r="E1151" s="1945" t="s">
        <v>2637</v>
      </c>
      <c r="F1151" s="1946">
        <v>10430</v>
      </c>
      <c r="G1151" s="1946">
        <v>6060000</v>
      </c>
      <c r="H1151" s="1944" t="s">
        <v>2387</v>
      </c>
      <c r="I1151" s="1947" t="s">
        <v>2372</v>
      </c>
      <c r="J1151" s="2023">
        <v>25520000</v>
      </c>
    </row>
    <row r="1152" spans="1:10" ht="15">
      <c r="A1152" s="1949" t="s">
        <v>2587</v>
      </c>
      <c r="B1152" s="1943">
        <v>13</v>
      </c>
      <c r="C1152" s="1945" t="s">
        <v>2588</v>
      </c>
      <c r="D1152" s="1945" t="s">
        <v>2589</v>
      </c>
      <c r="E1152" s="1945" t="s">
        <v>2637</v>
      </c>
      <c r="F1152" s="1946">
        <v>10430</v>
      </c>
      <c r="G1152" s="1946">
        <v>6060000</v>
      </c>
      <c r="H1152" s="1944" t="s">
        <v>2387</v>
      </c>
      <c r="I1152" s="1947" t="s">
        <v>2372</v>
      </c>
      <c r="J1152" s="2023">
        <v>0</v>
      </c>
    </row>
    <row r="1153" spans="1:10" ht="15">
      <c r="A1153" s="1949" t="s">
        <v>2590</v>
      </c>
      <c r="B1153" s="1943">
        <v>13</v>
      </c>
      <c r="C1153" s="1945" t="s">
        <v>2591</v>
      </c>
      <c r="D1153" s="1945" t="s">
        <v>2592</v>
      </c>
      <c r="E1153" s="1945" t="s">
        <v>2637</v>
      </c>
      <c r="F1153" s="1946">
        <v>10430</v>
      </c>
      <c r="G1153" s="1946">
        <v>6060000</v>
      </c>
      <c r="H1153" s="1944" t="s">
        <v>2387</v>
      </c>
      <c r="I1153" s="1947" t="s">
        <v>2372</v>
      </c>
      <c r="J1153" s="2023">
        <v>1000000</v>
      </c>
    </row>
    <row r="1154" spans="1:10" ht="15">
      <c r="A1154" s="1949" t="s">
        <v>2593</v>
      </c>
      <c r="B1154" s="1943">
        <v>13</v>
      </c>
      <c r="C1154" s="1945" t="s">
        <v>2594</v>
      </c>
      <c r="D1154" s="1945" t="s">
        <v>2596</v>
      </c>
      <c r="E1154" s="1945" t="s">
        <v>2637</v>
      </c>
      <c r="F1154" s="1946">
        <v>10430</v>
      </c>
      <c r="G1154" s="1946">
        <v>6060000</v>
      </c>
      <c r="H1154" s="1944" t="s">
        <v>2387</v>
      </c>
      <c r="I1154" s="1947" t="s">
        <v>2595</v>
      </c>
      <c r="J1154" s="2023">
        <v>4480000</v>
      </c>
    </row>
    <row r="1155" spans="1:10" ht="15">
      <c r="A1155" s="1949" t="s">
        <v>2597</v>
      </c>
      <c r="B1155" s="1943">
        <v>13</v>
      </c>
      <c r="C1155" s="1945" t="s">
        <v>2598</v>
      </c>
      <c r="D1155" s="1945" t="s">
        <v>2599</v>
      </c>
      <c r="E1155" s="1945" t="s">
        <v>2637</v>
      </c>
      <c r="F1155" s="1946">
        <v>10430</v>
      </c>
      <c r="G1155" s="1946">
        <v>6060000</v>
      </c>
      <c r="H1155" s="1944" t="s">
        <v>2387</v>
      </c>
      <c r="I1155" s="1947" t="s">
        <v>2595</v>
      </c>
      <c r="J1155" s="2023">
        <v>2700000</v>
      </c>
    </row>
    <row r="1156" spans="1:10" ht="15">
      <c r="A1156" s="1949" t="s">
        <v>2600</v>
      </c>
      <c r="B1156" s="1943">
        <v>13</v>
      </c>
      <c r="C1156" s="1945" t="s">
        <v>2601</v>
      </c>
      <c r="D1156" s="1945" t="s">
        <v>2602</v>
      </c>
      <c r="E1156" s="1945" t="s">
        <v>2637</v>
      </c>
      <c r="F1156" s="1946">
        <v>10430</v>
      </c>
      <c r="G1156" s="1946">
        <v>6060000</v>
      </c>
      <c r="H1156" s="1944" t="s">
        <v>2387</v>
      </c>
      <c r="I1156" s="1947" t="s">
        <v>2336</v>
      </c>
      <c r="J1156" s="2023">
        <v>5890000</v>
      </c>
    </row>
    <row r="1157" spans="1:10" ht="15">
      <c r="A1157" s="1949" t="s">
        <v>2603</v>
      </c>
      <c r="B1157" s="1943">
        <v>13</v>
      </c>
      <c r="C1157" s="1945" t="s">
        <v>2604</v>
      </c>
      <c r="D1157" s="1945" t="s">
        <v>2605</v>
      </c>
      <c r="E1157" s="1945" t="s">
        <v>2637</v>
      </c>
      <c r="F1157" s="1946">
        <v>10430</v>
      </c>
      <c r="G1157" s="1946">
        <v>6060000</v>
      </c>
      <c r="H1157" s="1944" t="s">
        <v>2387</v>
      </c>
      <c r="I1157" s="1947" t="s">
        <v>2336</v>
      </c>
      <c r="J1157" s="2023">
        <v>5200000</v>
      </c>
    </row>
    <row r="1158" spans="1:10" ht="15">
      <c r="A1158" s="1949" t="s">
        <v>2606</v>
      </c>
      <c r="B1158" s="1943">
        <v>13</v>
      </c>
      <c r="C1158" s="1945" t="s">
        <v>2607</v>
      </c>
      <c r="D1158" s="1945" t="s">
        <v>2608</v>
      </c>
      <c r="E1158" s="1945" t="s">
        <v>2637</v>
      </c>
      <c r="F1158" s="1946">
        <v>10430</v>
      </c>
      <c r="G1158" s="1946">
        <v>6060000</v>
      </c>
      <c r="H1158" s="1944" t="s">
        <v>2387</v>
      </c>
      <c r="I1158" s="1947" t="s">
        <v>2336</v>
      </c>
      <c r="J1158" s="2023">
        <v>790000</v>
      </c>
    </row>
    <row r="1159" spans="1:10" ht="15">
      <c r="A1159" s="1949" t="s">
        <v>2609</v>
      </c>
      <c r="B1159" s="1943">
        <v>13</v>
      </c>
      <c r="C1159" s="1945" t="s">
        <v>2610</v>
      </c>
      <c r="D1159" s="1945" t="s">
        <v>2612</v>
      </c>
      <c r="E1159" s="1945" t="s">
        <v>2637</v>
      </c>
      <c r="F1159" s="1946">
        <v>10430</v>
      </c>
      <c r="G1159" s="1946">
        <v>6060000</v>
      </c>
      <c r="H1159" s="1944" t="s">
        <v>2387</v>
      </c>
      <c r="I1159" s="1947" t="s">
        <v>2611</v>
      </c>
      <c r="J1159" s="2023">
        <v>2080000</v>
      </c>
    </row>
    <row r="1160" spans="1:10" ht="15">
      <c r="A1160" s="1949" t="s">
        <v>2613</v>
      </c>
      <c r="B1160" s="1943">
        <v>13</v>
      </c>
      <c r="C1160" s="1945" t="s">
        <v>2614</v>
      </c>
      <c r="D1160" s="1945" t="s">
        <v>2615</v>
      </c>
      <c r="E1160" s="1945" t="s">
        <v>2637</v>
      </c>
      <c r="F1160" s="1946">
        <v>10430</v>
      </c>
      <c r="G1160" s="1946">
        <v>6060000</v>
      </c>
      <c r="H1160" s="1944" t="s">
        <v>2387</v>
      </c>
      <c r="I1160" s="1947" t="s">
        <v>2611</v>
      </c>
      <c r="J1160" s="2023">
        <v>1090000</v>
      </c>
    </row>
    <row r="1161" spans="1:10" ht="15">
      <c r="A1161" s="1942" t="s">
        <v>2616</v>
      </c>
      <c r="B1161" s="1943">
        <v>13</v>
      </c>
      <c r="C1161" s="1944" t="s">
        <v>2617</v>
      </c>
      <c r="D1161" s="1944" t="s">
        <v>2619</v>
      </c>
      <c r="E1161" s="1945" t="s">
        <v>2637</v>
      </c>
      <c r="F1161" s="1946">
        <v>10430</v>
      </c>
      <c r="G1161" s="1946">
        <v>6060000</v>
      </c>
      <c r="H1161" s="1944" t="s">
        <v>2387</v>
      </c>
      <c r="I1161" s="1951" t="s">
        <v>2618</v>
      </c>
      <c r="J1161" s="2023">
        <v>0</v>
      </c>
    </row>
    <row r="1162" spans="1:10" ht="15">
      <c r="A1162" s="1949" t="s">
        <v>2620</v>
      </c>
      <c r="B1162" s="1943">
        <v>13</v>
      </c>
      <c r="C1162" s="1945" t="s">
        <v>2621</v>
      </c>
      <c r="D1162" s="1945" t="s">
        <v>2622</v>
      </c>
      <c r="E1162" s="1945" t="s">
        <v>2637</v>
      </c>
      <c r="F1162" s="1946">
        <v>10430</v>
      </c>
      <c r="G1162" s="1946">
        <v>6060000</v>
      </c>
      <c r="H1162" s="1944" t="s">
        <v>2387</v>
      </c>
      <c r="I1162" s="1947" t="s">
        <v>2618</v>
      </c>
      <c r="J1162" s="2025">
        <v>960000</v>
      </c>
    </row>
    <row r="1163" spans="1:10" ht="15">
      <c r="A1163" s="1949" t="s">
        <v>2417</v>
      </c>
      <c r="B1163" s="1943">
        <v>13</v>
      </c>
      <c r="C1163" s="1945" t="s">
        <v>2418</v>
      </c>
      <c r="D1163" s="1945" t="s">
        <v>2419</v>
      </c>
      <c r="E1163" s="1945" t="s">
        <v>2637</v>
      </c>
      <c r="F1163" s="1946">
        <v>10430</v>
      </c>
      <c r="G1163" s="1946">
        <v>6060000</v>
      </c>
      <c r="H1163" s="1944" t="s">
        <v>2388</v>
      </c>
      <c r="I1163" s="1947" t="s">
        <v>2361</v>
      </c>
      <c r="J1163" s="2026">
        <v>29550000</v>
      </c>
    </row>
    <row r="1164" spans="1:10" ht="15">
      <c r="A1164" s="1949" t="s">
        <v>2420</v>
      </c>
      <c r="B1164" s="1943">
        <v>13</v>
      </c>
      <c r="C1164" s="1945" t="s">
        <v>2421</v>
      </c>
      <c r="D1164" s="1945" t="s">
        <v>2422</v>
      </c>
      <c r="E1164" s="1945" t="s">
        <v>2637</v>
      </c>
      <c r="F1164" s="1946">
        <v>10430</v>
      </c>
      <c r="G1164" s="1946">
        <v>6060000</v>
      </c>
      <c r="H1164" s="1944" t="s">
        <v>2388</v>
      </c>
      <c r="I1164" s="1947" t="s">
        <v>2361</v>
      </c>
      <c r="J1164" s="2026">
        <v>11650000</v>
      </c>
    </row>
    <row r="1165" spans="1:10" ht="15">
      <c r="A1165" s="1949" t="s">
        <v>2423</v>
      </c>
      <c r="B1165" s="1943">
        <v>13</v>
      </c>
      <c r="C1165" s="1945" t="s">
        <v>2424</v>
      </c>
      <c r="D1165" s="1945" t="s">
        <v>2426</v>
      </c>
      <c r="E1165" s="1945" t="s">
        <v>2637</v>
      </c>
      <c r="F1165" s="1946">
        <v>10430</v>
      </c>
      <c r="G1165" s="1946">
        <v>6060000</v>
      </c>
      <c r="H1165" s="1944" t="s">
        <v>2388</v>
      </c>
      <c r="I1165" s="1947" t="s">
        <v>2425</v>
      </c>
      <c r="J1165" s="2026">
        <v>15040000</v>
      </c>
    </row>
    <row r="1166" spans="1:10" ht="15">
      <c r="A1166" s="1949" t="s">
        <v>2427</v>
      </c>
      <c r="B1166" s="1943">
        <v>13</v>
      </c>
      <c r="C1166" s="1945" t="s">
        <v>2428</v>
      </c>
      <c r="D1166" s="1945" t="s">
        <v>2429</v>
      </c>
      <c r="E1166" s="1945" t="s">
        <v>2637</v>
      </c>
      <c r="F1166" s="1946">
        <v>10430</v>
      </c>
      <c r="G1166" s="1946">
        <v>6060000</v>
      </c>
      <c r="H1166" s="1944" t="s">
        <v>2388</v>
      </c>
      <c r="I1166" s="1947" t="s">
        <v>2333</v>
      </c>
      <c r="J1166" s="2026">
        <v>7100000</v>
      </c>
    </row>
    <row r="1167" spans="1:10" ht="15">
      <c r="A1167" s="1949" t="s">
        <v>2331</v>
      </c>
      <c r="B1167" s="1943">
        <v>13</v>
      </c>
      <c r="C1167" s="1945" t="s">
        <v>2430</v>
      </c>
      <c r="D1167" s="1945" t="s">
        <v>2431</v>
      </c>
      <c r="E1167" s="1945" t="s">
        <v>2637</v>
      </c>
      <c r="F1167" s="1946">
        <v>10430</v>
      </c>
      <c r="G1167" s="1946">
        <v>6060000</v>
      </c>
      <c r="H1167" s="1944" t="s">
        <v>2388</v>
      </c>
      <c r="I1167" s="1947" t="s">
        <v>2333</v>
      </c>
      <c r="J1167" s="2026">
        <v>5170000</v>
      </c>
    </row>
    <row r="1168" spans="1:10" ht="15">
      <c r="A1168" s="1949">
        <v>106</v>
      </c>
      <c r="B1168" s="1943">
        <v>13</v>
      </c>
      <c r="C1168" s="1945">
        <v>2106001</v>
      </c>
      <c r="D1168" s="1945" t="s">
        <v>2432</v>
      </c>
      <c r="E1168" s="1945" t="s">
        <v>2637</v>
      </c>
      <c r="F1168" s="1946">
        <v>10430</v>
      </c>
      <c r="G1168" s="1946">
        <v>6060000</v>
      </c>
      <c r="H1168" s="1944" t="s">
        <v>2388</v>
      </c>
      <c r="I1168" s="1947" t="s">
        <v>2392</v>
      </c>
      <c r="J1168" s="2026">
        <v>35420000</v>
      </c>
    </row>
    <row r="1169" spans="1:10" ht="15">
      <c r="A1169" s="1949" t="s">
        <v>2433</v>
      </c>
      <c r="B1169" s="1943">
        <v>13</v>
      </c>
      <c r="C1169" s="1945" t="s">
        <v>2434</v>
      </c>
      <c r="D1169" s="1945" t="s">
        <v>2436</v>
      </c>
      <c r="E1169" s="1945" t="s">
        <v>2637</v>
      </c>
      <c r="F1169" s="1946">
        <v>10430</v>
      </c>
      <c r="G1169" s="1946">
        <v>6060000</v>
      </c>
      <c r="H1169" s="1944" t="s">
        <v>2388</v>
      </c>
      <c r="I1169" s="1947" t="s">
        <v>2435</v>
      </c>
      <c r="J1169" s="2026">
        <v>14150000</v>
      </c>
    </row>
    <row r="1170" spans="1:10" ht="15">
      <c r="A1170" s="1949" t="s">
        <v>2437</v>
      </c>
      <c r="B1170" s="1943">
        <v>13</v>
      </c>
      <c r="C1170" s="1945" t="s">
        <v>2438</v>
      </c>
      <c r="D1170" s="1945" t="s">
        <v>2440</v>
      </c>
      <c r="E1170" s="1945" t="s">
        <v>2637</v>
      </c>
      <c r="F1170" s="1946">
        <v>10430</v>
      </c>
      <c r="G1170" s="1946">
        <v>6060000</v>
      </c>
      <c r="H1170" s="1944" t="s">
        <v>2388</v>
      </c>
      <c r="I1170" s="1950" t="s">
        <v>2439</v>
      </c>
      <c r="J1170" s="2026">
        <v>13420000</v>
      </c>
    </row>
    <row r="1171" spans="1:10" ht="15">
      <c r="A1171" s="1949" t="s">
        <v>2441</v>
      </c>
      <c r="B1171" s="1943">
        <v>13</v>
      </c>
      <c r="C1171" s="1945" t="s">
        <v>2442</v>
      </c>
      <c r="D1171" s="1945" t="s">
        <v>2443</v>
      </c>
      <c r="E1171" s="1945" t="s">
        <v>2637</v>
      </c>
      <c r="F1171" s="1946">
        <v>10430</v>
      </c>
      <c r="G1171" s="1946">
        <v>6060000</v>
      </c>
      <c r="H1171" s="1944" t="s">
        <v>2388</v>
      </c>
      <c r="I1171" s="1950" t="s">
        <v>2439</v>
      </c>
      <c r="J1171" s="2026">
        <v>6190000</v>
      </c>
    </row>
    <row r="1172" spans="1:10" ht="15">
      <c r="A1172" s="1949" t="s">
        <v>2444</v>
      </c>
      <c r="B1172" s="1943">
        <v>13</v>
      </c>
      <c r="C1172" s="1945" t="s">
        <v>2445</v>
      </c>
      <c r="D1172" s="1945" t="s">
        <v>2446</v>
      </c>
      <c r="E1172" s="1945" t="s">
        <v>2637</v>
      </c>
      <c r="F1172" s="1946">
        <v>10430</v>
      </c>
      <c r="G1172" s="1946">
        <v>6060000</v>
      </c>
      <c r="H1172" s="1944" t="s">
        <v>2388</v>
      </c>
      <c r="I1172" s="1947" t="s">
        <v>2349</v>
      </c>
      <c r="J1172" s="2026">
        <v>91250000</v>
      </c>
    </row>
    <row r="1173" spans="1:10" ht="15">
      <c r="A1173" s="1949" t="s">
        <v>2447</v>
      </c>
      <c r="B1173" s="1943">
        <v>13</v>
      </c>
      <c r="C1173" s="1945" t="s">
        <v>2448</v>
      </c>
      <c r="D1173" s="1945" t="s">
        <v>2449</v>
      </c>
      <c r="E1173" s="1945" t="s">
        <v>2637</v>
      </c>
      <c r="F1173" s="1946">
        <v>10430</v>
      </c>
      <c r="G1173" s="1946">
        <v>6060000</v>
      </c>
      <c r="H1173" s="1944" t="s">
        <v>2388</v>
      </c>
      <c r="I1173" s="1947" t="s">
        <v>2349</v>
      </c>
      <c r="J1173" s="2026">
        <v>16500000</v>
      </c>
    </row>
    <row r="1174" spans="1:10" ht="15">
      <c r="A1174" s="1949" t="s">
        <v>2450</v>
      </c>
      <c r="B1174" s="1943">
        <v>13</v>
      </c>
      <c r="C1174" s="1945" t="s">
        <v>2451</v>
      </c>
      <c r="D1174" s="1945" t="s">
        <v>2453</v>
      </c>
      <c r="E1174" s="1945" t="s">
        <v>2637</v>
      </c>
      <c r="F1174" s="1946">
        <v>10430</v>
      </c>
      <c r="G1174" s="1946">
        <v>6060000</v>
      </c>
      <c r="H1174" s="1944" t="s">
        <v>2388</v>
      </c>
      <c r="I1174" s="1947" t="s">
        <v>2452</v>
      </c>
      <c r="J1174" s="2026">
        <v>26450000</v>
      </c>
    </row>
    <row r="1175" spans="1:10" ht="15">
      <c r="A1175" s="1949" t="s">
        <v>2454</v>
      </c>
      <c r="B1175" s="1943">
        <v>13</v>
      </c>
      <c r="C1175" s="1945" t="s">
        <v>2455</v>
      </c>
      <c r="D1175" s="1945" t="s">
        <v>2456</v>
      </c>
      <c r="E1175" s="1945" t="s">
        <v>2637</v>
      </c>
      <c r="F1175" s="1946">
        <v>10430</v>
      </c>
      <c r="G1175" s="1946">
        <v>6060000</v>
      </c>
      <c r="H1175" s="1944" t="s">
        <v>2388</v>
      </c>
      <c r="I1175" s="1947" t="s">
        <v>2397</v>
      </c>
      <c r="J1175" s="2026">
        <v>117800000</v>
      </c>
    </row>
    <row r="1176" spans="1:10" ht="15">
      <c r="A1176" s="1949" t="s">
        <v>2457</v>
      </c>
      <c r="B1176" s="1943">
        <v>13</v>
      </c>
      <c r="C1176" s="1945" t="s">
        <v>2458</v>
      </c>
      <c r="D1176" s="1945" t="s">
        <v>2459</v>
      </c>
      <c r="E1176" s="1945" t="s">
        <v>2637</v>
      </c>
      <c r="F1176" s="1946">
        <v>10430</v>
      </c>
      <c r="G1176" s="1946">
        <v>6060000</v>
      </c>
      <c r="H1176" s="1944" t="s">
        <v>2388</v>
      </c>
      <c r="I1176" s="1947" t="s">
        <v>2397</v>
      </c>
      <c r="J1176" s="2026">
        <v>20980000</v>
      </c>
    </row>
    <row r="1177" spans="1:10" ht="15">
      <c r="A1177" s="1949" t="s">
        <v>2460</v>
      </c>
      <c r="B1177" s="1943">
        <v>13</v>
      </c>
      <c r="C1177" s="1945" t="s">
        <v>2461</v>
      </c>
      <c r="D1177" s="1945" t="s">
        <v>2462</v>
      </c>
      <c r="E1177" s="1945" t="s">
        <v>2637</v>
      </c>
      <c r="F1177" s="1946">
        <v>10430</v>
      </c>
      <c r="G1177" s="1946">
        <v>6060000</v>
      </c>
      <c r="H1177" s="1944" t="s">
        <v>2388</v>
      </c>
      <c r="I1177" s="1947" t="s">
        <v>2397</v>
      </c>
      <c r="J1177" s="2026">
        <v>15440000</v>
      </c>
    </row>
    <row r="1178" spans="1:10" ht="15">
      <c r="A1178" s="1949" t="s">
        <v>2463</v>
      </c>
      <c r="B1178" s="1943">
        <v>13</v>
      </c>
      <c r="C1178" s="1945" t="s">
        <v>2464</v>
      </c>
      <c r="D1178" s="1945" t="s">
        <v>2466</v>
      </c>
      <c r="E1178" s="1945" t="s">
        <v>2637</v>
      </c>
      <c r="F1178" s="1946">
        <v>10430</v>
      </c>
      <c r="G1178" s="1946">
        <v>6060000</v>
      </c>
      <c r="H1178" s="1944" t="s">
        <v>2388</v>
      </c>
      <c r="I1178" s="1947" t="s">
        <v>2465</v>
      </c>
      <c r="J1178" s="2026">
        <v>18760000</v>
      </c>
    </row>
    <row r="1179" spans="1:10" ht="15">
      <c r="A1179" s="1949" t="s">
        <v>2467</v>
      </c>
      <c r="B1179" s="1943">
        <v>13</v>
      </c>
      <c r="C1179" s="1945" t="s">
        <v>2468</v>
      </c>
      <c r="D1179" s="1945" t="s">
        <v>2470</v>
      </c>
      <c r="E1179" s="1945" t="s">
        <v>2637</v>
      </c>
      <c r="F1179" s="1946">
        <v>10430</v>
      </c>
      <c r="G1179" s="1946">
        <v>6060000</v>
      </c>
      <c r="H1179" s="1944" t="s">
        <v>2388</v>
      </c>
      <c r="I1179" s="1947" t="s">
        <v>2469</v>
      </c>
      <c r="J1179" s="2026">
        <v>20590000</v>
      </c>
    </row>
    <row r="1180" spans="1:10" ht="15">
      <c r="A1180" s="1949" t="s">
        <v>2471</v>
      </c>
      <c r="B1180" s="1943">
        <v>13</v>
      </c>
      <c r="C1180" s="1945" t="s">
        <v>2472</v>
      </c>
      <c r="D1180" s="1945" t="s">
        <v>2474</v>
      </c>
      <c r="E1180" s="1945" t="s">
        <v>2637</v>
      </c>
      <c r="F1180" s="1946">
        <v>10430</v>
      </c>
      <c r="G1180" s="1946">
        <v>6060000</v>
      </c>
      <c r="H1180" s="1944" t="s">
        <v>2388</v>
      </c>
      <c r="I1180" s="1947" t="s">
        <v>2473</v>
      </c>
      <c r="J1180" s="2026">
        <v>24370000</v>
      </c>
    </row>
    <row r="1181" spans="1:10" ht="15">
      <c r="A1181" s="1949" t="s">
        <v>2475</v>
      </c>
      <c r="B1181" s="1943">
        <v>13</v>
      </c>
      <c r="C1181" s="1945" t="s">
        <v>2476</v>
      </c>
      <c r="D1181" s="1945" t="s">
        <v>2477</v>
      </c>
      <c r="E1181" s="1945" t="s">
        <v>2637</v>
      </c>
      <c r="F1181" s="1946">
        <v>10430</v>
      </c>
      <c r="G1181" s="1946">
        <v>6060000</v>
      </c>
      <c r="H1181" s="1944" t="s">
        <v>2388</v>
      </c>
      <c r="I1181" s="1947" t="s">
        <v>2473</v>
      </c>
      <c r="J1181" s="2026">
        <v>16200000</v>
      </c>
    </row>
    <row r="1182" spans="1:10" ht="15">
      <c r="A1182" s="1949" t="s">
        <v>2478</v>
      </c>
      <c r="B1182" s="1943">
        <v>13</v>
      </c>
      <c r="C1182" s="1945" t="s">
        <v>2479</v>
      </c>
      <c r="D1182" s="1945" t="s">
        <v>2480</v>
      </c>
      <c r="E1182" s="1945" t="s">
        <v>2637</v>
      </c>
      <c r="F1182" s="1946">
        <v>10430</v>
      </c>
      <c r="G1182" s="1946">
        <v>6060000</v>
      </c>
      <c r="H1182" s="1944" t="s">
        <v>2388</v>
      </c>
      <c r="I1182" s="1947" t="s">
        <v>2325</v>
      </c>
      <c r="J1182" s="2026">
        <v>68290000</v>
      </c>
    </row>
    <row r="1183" spans="1:10" ht="15">
      <c r="A1183" s="1949" t="s">
        <v>2481</v>
      </c>
      <c r="B1183" s="1943">
        <v>13</v>
      </c>
      <c r="C1183" s="1945" t="s">
        <v>2482</v>
      </c>
      <c r="D1183" s="1945" t="s">
        <v>2483</v>
      </c>
      <c r="E1183" s="1945" t="s">
        <v>2637</v>
      </c>
      <c r="F1183" s="1946">
        <v>10430</v>
      </c>
      <c r="G1183" s="1946">
        <v>6060000</v>
      </c>
      <c r="H1183" s="1944" t="s">
        <v>2388</v>
      </c>
      <c r="I1183" s="1947" t="s">
        <v>2325</v>
      </c>
      <c r="J1183" s="2026">
        <v>13510000</v>
      </c>
    </row>
    <row r="1184" spans="1:10" ht="15">
      <c r="A1184" s="1949" t="s">
        <v>2484</v>
      </c>
      <c r="B1184" s="1943">
        <v>13</v>
      </c>
      <c r="C1184" s="1945" t="s">
        <v>2485</v>
      </c>
      <c r="D1184" s="1945" t="s">
        <v>2486</v>
      </c>
      <c r="E1184" s="1945" t="s">
        <v>2637</v>
      </c>
      <c r="F1184" s="1946">
        <v>10430</v>
      </c>
      <c r="G1184" s="1946">
        <v>6060000</v>
      </c>
      <c r="H1184" s="1944" t="s">
        <v>2388</v>
      </c>
      <c r="I1184" s="1947" t="s">
        <v>2325</v>
      </c>
      <c r="J1184" s="2026">
        <v>11990000</v>
      </c>
    </row>
    <row r="1185" spans="1:10" ht="15">
      <c r="A1185" s="1949" t="s">
        <v>2487</v>
      </c>
      <c r="B1185" s="1943">
        <v>13</v>
      </c>
      <c r="C1185" s="1945" t="s">
        <v>2488</v>
      </c>
      <c r="D1185" s="1945" t="s">
        <v>2490</v>
      </c>
      <c r="E1185" s="1945" t="s">
        <v>2637</v>
      </c>
      <c r="F1185" s="1946">
        <v>10430</v>
      </c>
      <c r="G1185" s="1946">
        <v>6060000</v>
      </c>
      <c r="H1185" s="1944" t="s">
        <v>2388</v>
      </c>
      <c r="I1185" s="1947" t="s">
        <v>2489</v>
      </c>
      <c r="J1185" s="2026">
        <v>45740000</v>
      </c>
    </row>
    <row r="1186" spans="1:10" ht="15">
      <c r="A1186" s="1949" t="s">
        <v>2491</v>
      </c>
      <c r="B1186" s="1943">
        <v>13</v>
      </c>
      <c r="C1186" s="1945" t="s">
        <v>2492</v>
      </c>
      <c r="D1186" s="1945" t="s">
        <v>2493</v>
      </c>
      <c r="E1186" s="1945" t="s">
        <v>2637</v>
      </c>
      <c r="F1186" s="1946">
        <v>10430</v>
      </c>
      <c r="G1186" s="1946">
        <v>6060000</v>
      </c>
      <c r="H1186" s="1944" t="s">
        <v>2388</v>
      </c>
      <c r="I1186" s="1947" t="s">
        <v>2489</v>
      </c>
      <c r="J1186" s="2026">
        <v>16060000</v>
      </c>
    </row>
    <row r="1187" spans="1:10" ht="15">
      <c r="A1187" s="1949" t="s">
        <v>2494</v>
      </c>
      <c r="B1187" s="1943">
        <v>13</v>
      </c>
      <c r="C1187" s="1945" t="s">
        <v>2495</v>
      </c>
      <c r="D1187" s="1945" t="s">
        <v>2497</v>
      </c>
      <c r="E1187" s="1945" t="s">
        <v>2637</v>
      </c>
      <c r="F1187" s="1946">
        <v>10430</v>
      </c>
      <c r="G1187" s="1946">
        <v>6060000</v>
      </c>
      <c r="H1187" s="1944" t="s">
        <v>2388</v>
      </c>
      <c r="I1187" s="1947" t="s">
        <v>2496</v>
      </c>
      <c r="J1187" s="2026">
        <v>11660000</v>
      </c>
    </row>
    <row r="1188" spans="1:10" ht="15">
      <c r="A1188" s="1949" t="s">
        <v>148</v>
      </c>
      <c r="B1188" s="1943">
        <v>13</v>
      </c>
      <c r="C1188" s="1945" t="s">
        <v>2498</v>
      </c>
      <c r="D1188" s="1945" t="s">
        <v>2500</v>
      </c>
      <c r="E1188" s="1945" t="s">
        <v>2637</v>
      </c>
      <c r="F1188" s="1946">
        <v>10430</v>
      </c>
      <c r="G1188" s="1946">
        <v>6060000</v>
      </c>
      <c r="H1188" s="1944" t="s">
        <v>2388</v>
      </c>
      <c r="I1188" s="1947" t="s">
        <v>2499</v>
      </c>
      <c r="J1188" s="2026">
        <v>13010000</v>
      </c>
    </row>
    <row r="1189" spans="1:10" ht="15">
      <c r="A1189" s="1949" t="s">
        <v>2501</v>
      </c>
      <c r="B1189" s="1943">
        <v>13</v>
      </c>
      <c r="C1189" s="1945" t="s">
        <v>2502</v>
      </c>
      <c r="D1189" s="1945" t="s">
        <v>2503</v>
      </c>
      <c r="E1189" s="1945" t="s">
        <v>2637</v>
      </c>
      <c r="F1189" s="1946">
        <v>10430</v>
      </c>
      <c r="G1189" s="1946">
        <v>6060000</v>
      </c>
      <c r="H1189" s="1944" t="s">
        <v>2388</v>
      </c>
      <c r="I1189" s="1947" t="s">
        <v>2499</v>
      </c>
      <c r="J1189" s="2026">
        <v>2300000</v>
      </c>
    </row>
    <row r="1190" spans="1:10" ht="15">
      <c r="A1190" s="1949" t="s">
        <v>2504</v>
      </c>
      <c r="B1190" s="1943">
        <v>13</v>
      </c>
      <c r="C1190" s="1945" t="s">
        <v>2505</v>
      </c>
      <c r="D1190" s="1945" t="s">
        <v>2507</v>
      </c>
      <c r="E1190" s="1945" t="s">
        <v>2637</v>
      </c>
      <c r="F1190" s="1946">
        <v>10430</v>
      </c>
      <c r="G1190" s="1946">
        <v>6060000</v>
      </c>
      <c r="H1190" s="1944" t="s">
        <v>2388</v>
      </c>
      <c r="I1190" s="1947" t="s">
        <v>2506</v>
      </c>
      <c r="J1190" s="2026">
        <v>6580000</v>
      </c>
    </row>
    <row r="1191" spans="1:10" ht="15">
      <c r="A1191" s="1949" t="s">
        <v>2508</v>
      </c>
      <c r="B1191" s="1943">
        <v>13</v>
      </c>
      <c r="C1191" s="1945" t="s">
        <v>2509</v>
      </c>
      <c r="D1191" s="1945" t="s">
        <v>2510</v>
      </c>
      <c r="E1191" s="1945" t="s">
        <v>2637</v>
      </c>
      <c r="F1191" s="1946">
        <v>10430</v>
      </c>
      <c r="G1191" s="1946">
        <v>6060000</v>
      </c>
      <c r="H1191" s="1944" t="s">
        <v>2388</v>
      </c>
      <c r="I1191" s="1947" t="s">
        <v>2506</v>
      </c>
      <c r="J1191" s="2026">
        <v>9110000</v>
      </c>
    </row>
    <row r="1192" spans="1:10" ht="15">
      <c r="A1192" s="1949" t="s">
        <v>2511</v>
      </c>
      <c r="B1192" s="1943">
        <v>13</v>
      </c>
      <c r="C1192" s="1945" t="s">
        <v>2512</v>
      </c>
      <c r="D1192" s="1945" t="s">
        <v>2514</v>
      </c>
      <c r="E1192" s="1945" t="s">
        <v>2637</v>
      </c>
      <c r="F1192" s="1946">
        <v>10430</v>
      </c>
      <c r="G1192" s="1946">
        <v>6060000</v>
      </c>
      <c r="H1192" s="1944" t="s">
        <v>2388</v>
      </c>
      <c r="I1192" s="1947" t="s">
        <v>2513</v>
      </c>
      <c r="J1192" s="2026">
        <v>7120000</v>
      </c>
    </row>
    <row r="1193" spans="1:10" ht="15">
      <c r="A1193" s="1949" t="s">
        <v>2515</v>
      </c>
      <c r="B1193" s="1943">
        <v>13</v>
      </c>
      <c r="C1193" s="1945" t="s">
        <v>2516</v>
      </c>
      <c r="D1193" s="1945" t="s">
        <v>2517</v>
      </c>
      <c r="E1193" s="1945" t="s">
        <v>2637</v>
      </c>
      <c r="F1193" s="1946">
        <v>10430</v>
      </c>
      <c r="G1193" s="1946">
        <v>6060000</v>
      </c>
      <c r="H1193" s="1944" t="s">
        <v>2388</v>
      </c>
      <c r="I1193" s="1947" t="s">
        <v>2513</v>
      </c>
      <c r="J1193" s="2026">
        <v>4450000</v>
      </c>
    </row>
    <row r="1194" spans="1:10" ht="15">
      <c r="A1194" s="1942" t="s">
        <v>2518</v>
      </c>
      <c r="B1194" s="1943">
        <v>13</v>
      </c>
      <c r="C1194" s="1944" t="s">
        <v>2519</v>
      </c>
      <c r="D1194" s="1944" t="s">
        <v>2520</v>
      </c>
      <c r="E1194" s="1945" t="s">
        <v>2637</v>
      </c>
      <c r="F1194" s="1946">
        <v>10430</v>
      </c>
      <c r="G1194" s="1946">
        <v>6060000</v>
      </c>
      <c r="H1194" s="1944" t="s">
        <v>2388</v>
      </c>
      <c r="I1194" s="1951" t="s">
        <v>2499</v>
      </c>
      <c r="J1194" s="2026">
        <v>3010000</v>
      </c>
    </row>
    <row r="1195" spans="1:10" ht="15">
      <c r="A1195" s="1949" t="s">
        <v>2521</v>
      </c>
      <c r="B1195" s="1943">
        <v>13</v>
      </c>
      <c r="C1195" s="1945" t="s">
        <v>2522</v>
      </c>
      <c r="D1195" s="1945" t="s">
        <v>2524</v>
      </c>
      <c r="E1195" s="1945" t="s">
        <v>2637</v>
      </c>
      <c r="F1195" s="1946">
        <v>10430</v>
      </c>
      <c r="G1195" s="1946">
        <v>6060000</v>
      </c>
      <c r="H1195" s="1944" t="s">
        <v>2388</v>
      </c>
      <c r="I1195" s="1947" t="s">
        <v>2523</v>
      </c>
      <c r="J1195" s="2026">
        <v>37850000</v>
      </c>
    </row>
    <row r="1196" spans="1:10" ht="15">
      <c r="A1196" s="1949" t="s">
        <v>2525</v>
      </c>
      <c r="B1196" s="1943">
        <v>13</v>
      </c>
      <c r="C1196" s="1945" t="s">
        <v>2526</v>
      </c>
      <c r="D1196" s="1945" t="s">
        <v>2527</v>
      </c>
      <c r="E1196" s="1945" t="s">
        <v>2637</v>
      </c>
      <c r="F1196" s="1946">
        <v>10430</v>
      </c>
      <c r="G1196" s="1946">
        <v>6060000</v>
      </c>
      <c r="H1196" s="1944" t="s">
        <v>2388</v>
      </c>
      <c r="I1196" s="1947" t="s">
        <v>2523</v>
      </c>
      <c r="J1196" s="2026">
        <v>19010000</v>
      </c>
    </row>
    <row r="1197" spans="1:10" ht="15">
      <c r="A1197" s="1942" t="s">
        <v>2528</v>
      </c>
      <c r="B1197" s="1943">
        <v>13</v>
      </c>
      <c r="C1197" s="1944" t="s">
        <v>2529</v>
      </c>
      <c r="D1197" s="1944" t="s">
        <v>2530</v>
      </c>
      <c r="E1197" s="1945" t="s">
        <v>2637</v>
      </c>
      <c r="F1197" s="1946">
        <v>10430</v>
      </c>
      <c r="G1197" s="1946">
        <v>6060000</v>
      </c>
      <c r="H1197" s="1944" t="s">
        <v>2388</v>
      </c>
      <c r="I1197" s="1951" t="s">
        <v>2523</v>
      </c>
      <c r="J1197" s="2026">
        <v>440000</v>
      </c>
    </row>
    <row r="1198" spans="1:10" ht="15">
      <c r="A1198" s="1949" t="s">
        <v>2531</v>
      </c>
      <c r="B1198" s="1943">
        <v>13</v>
      </c>
      <c r="C1198" s="1945" t="s">
        <v>2532</v>
      </c>
      <c r="D1198" s="1945" t="s">
        <v>2534</v>
      </c>
      <c r="E1198" s="1945" t="s">
        <v>2637</v>
      </c>
      <c r="F1198" s="1946">
        <v>10430</v>
      </c>
      <c r="G1198" s="1946">
        <v>6060000</v>
      </c>
      <c r="H1198" s="1944" t="s">
        <v>2388</v>
      </c>
      <c r="I1198" s="1947" t="s">
        <v>2533</v>
      </c>
      <c r="J1198" s="2026">
        <v>6540000</v>
      </c>
    </row>
    <row r="1199" spans="1:10" ht="15">
      <c r="A1199" s="1949" t="s">
        <v>2535</v>
      </c>
      <c r="B1199" s="1943">
        <v>13</v>
      </c>
      <c r="C1199" s="1945" t="s">
        <v>2536</v>
      </c>
      <c r="D1199" s="1945" t="s">
        <v>2538</v>
      </c>
      <c r="E1199" s="1945" t="s">
        <v>2637</v>
      </c>
      <c r="F1199" s="1946">
        <v>10430</v>
      </c>
      <c r="G1199" s="1946">
        <v>6060000</v>
      </c>
      <c r="H1199" s="1944" t="s">
        <v>2388</v>
      </c>
      <c r="I1199" s="1947" t="s">
        <v>2537</v>
      </c>
      <c r="J1199" s="2026">
        <v>11360000</v>
      </c>
    </row>
    <row r="1200" spans="1:10" ht="15">
      <c r="A1200" s="1949" t="s">
        <v>2539</v>
      </c>
      <c r="B1200" s="1943">
        <v>13</v>
      </c>
      <c r="C1200" s="1945" t="s">
        <v>2540</v>
      </c>
      <c r="D1200" s="1945" t="s">
        <v>2542</v>
      </c>
      <c r="E1200" s="1945" t="s">
        <v>2637</v>
      </c>
      <c r="F1200" s="1946">
        <v>10430</v>
      </c>
      <c r="G1200" s="1946">
        <v>6060000</v>
      </c>
      <c r="H1200" s="1944" t="s">
        <v>2388</v>
      </c>
      <c r="I1200" s="1947" t="s">
        <v>2541</v>
      </c>
      <c r="J1200" s="2026">
        <v>38320000</v>
      </c>
    </row>
    <row r="1201" spans="1:10" ht="15">
      <c r="A1201" s="1949" t="s">
        <v>2701</v>
      </c>
      <c r="B1201" s="1943">
        <v>13</v>
      </c>
      <c r="C1201" s="1945" t="s">
        <v>2543</v>
      </c>
      <c r="D1201" s="1945" t="s">
        <v>2545</v>
      </c>
      <c r="E1201" s="1945" t="s">
        <v>2637</v>
      </c>
      <c r="F1201" s="1946">
        <v>10430</v>
      </c>
      <c r="G1201" s="1946">
        <v>6060000</v>
      </c>
      <c r="H1201" s="1944" t="s">
        <v>2388</v>
      </c>
      <c r="I1201" s="1947" t="s">
        <v>2544</v>
      </c>
      <c r="J1201" s="2026">
        <v>25290000</v>
      </c>
    </row>
    <row r="1202" spans="1:10" ht="15">
      <c r="A1202" s="1949" t="s">
        <v>2546</v>
      </c>
      <c r="B1202" s="1943">
        <v>13</v>
      </c>
      <c r="C1202" s="1945" t="s">
        <v>2547</v>
      </c>
      <c r="D1202" s="1945" t="s">
        <v>2549</v>
      </c>
      <c r="E1202" s="1945" t="s">
        <v>2637</v>
      </c>
      <c r="F1202" s="1946">
        <v>10430</v>
      </c>
      <c r="G1202" s="1946">
        <v>6060000</v>
      </c>
      <c r="H1202" s="1944" t="s">
        <v>2388</v>
      </c>
      <c r="I1202" s="1947" t="s">
        <v>2548</v>
      </c>
      <c r="J1202" s="2026">
        <f>8900000+1912000</f>
        <v>10812000</v>
      </c>
    </row>
    <row r="1203" spans="1:10" ht="15">
      <c r="A1203" s="1949" t="s">
        <v>2550</v>
      </c>
      <c r="B1203" s="1943">
        <v>13</v>
      </c>
      <c r="C1203" s="1945" t="s">
        <v>2551</v>
      </c>
      <c r="D1203" s="1945" t="s">
        <v>2553</v>
      </c>
      <c r="E1203" s="1945" t="s">
        <v>2637</v>
      </c>
      <c r="F1203" s="1946">
        <v>10430</v>
      </c>
      <c r="G1203" s="1946">
        <v>6060000</v>
      </c>
      <c r="H1203" s="1944" t="s">
        <v>2388</v>
      </c>
      <c r="I1203" s="1947" t="s">
        <v>2552</v>
      </c>
      <c r="J1203" s="2026">
        <v>12700000</v>
      </c>
    </row>
    <row r="1204" spans="1:10" ht="15">
      <c r="A1204" s="1949" t="s">
        <v>2554</v>
      </c>
      <c r="B1204" s="1943">
        <v>13</v>
      </c>
      <c r="C1204" s="1945" t="s">
        <v>2555</v>
      </c>
      <c r="D1204" s="1945" t="s">
        <v>2557</v>
      </c>
      <c r="E1204" s="1945" t="s">
        <v>2637</v>
      </c>
      <c r="F1204" s="1946">
        <v>10430</v>
      </c>
      <c r="G1204" s="1946">
        <v>6060000</v>
      </c>
      <c r="H1204" s="1944" t="s">
        <v>2388</v>
      </c>
      <c r="I1204" s="1947" t="s">
        <v>2556</v>
      </c>
      <c r="J1204" s="2026">
        <v>42610000</v>
      </c>
    </row>
    <row r="1205" spans="1:10" ht="15">
      <c r="A1205" s="1949" t="s">
        <v>2558</v>
      </c>
      <c r="B1205" s="1943">
        <v>13</v>
      </c>
      <c r="C1205" s="1945" t="s">
        <v>2559</v>
      </c>
      <c r="D1205" s="1945" t="s">
        <v>2561</v>
      </c>
      <c r="E1205" s="1945" t="s">
        <v>2637</v>
      </c>
      <c r="F1205" s="1946">
        <v>10430</v>
      </c>
      <c r="G1205" s="1946">
        <v>6060000</v>
      </c>
      <c r="H1205" s="1944" t="s">
        <v>2388</v>
      </c>
      <c r="I1205" s="1947" t="s">
        <v>2560</v>
      </c>
      <c r="J1205" s="2026">
        <v>13930000</v>
      </c>
    </row>
    <row r="1206" spans="1:10" ht="15">
      <c r="A1206" s="1949" t="s">
        <v>2562</v>
      </c>
      <c r="B1206" s="1943">
        <v>13</v>
      </c>
      <c r="C1206" s="1945" t="s">
        <v>2563</v>
      </c>
      <c r="D1206" s="1945" t="s">
        <v>2565</v>
      </c>
      <c r="E1206" s="1945" t="s">
        <v>2637</v>
      </c>
      <c r="F1206" s="1946">
        <v>10430</v>
      </c>
      <c r="G1206" s="1946">
        <v>6060000</v>
      </c>
      <c r="H1206" s="1944" t="s">
        <v>2388</v>
      </c>
      <c r="I1206" s="1947" t="s">
        <v>2564</v>
      </c>
      <c r="J1206" s="2026">
        <v>32000000</v>
      </c>
    </row>
    <row r="1207" spans="1:10" ht="15">
      <c r="A1207" s="1949" t="s">
        <v>2566</v>
      </c>
      <c r="B1207" s="1943">
        <v>13</v>
      </c>
      <c r="C1207" s="1945" t="s">
        <v>2567</v>
      </c>
      <c r="D1207" s="1945" t="s">
        <v>2569</v>
      </c>
      <c r="E1207" s="1945" t="s">
        <v>2637</v>
      </c>
      <c r="F1207" s="1946">
        <v>10430</v>
      </c>
      <c r="G1207" s="1946">
        <v>6060000</v>
      </c>
      <c r="H1207" s="1944" t="s">
        <v>2388</v>
      </c>
      <c r="I1207" s="1947" t="s">
        <v>2568</v>
      </c>
      <c r="J1207" s="2026">
        <v>16200000</v>
      </c>
    </row>
    <row r="1208" spans="1:10" ht="15">
      <c r="A1208" s="1949" t="s">
        <v>2570</v>
      </c>
      <c r="B1208" s="1943">
        <v>13</v>
      </c>
      <c r="C1208" s="1945" t="s">
        <v>2571</v>
      </c>
      <c r="D1208" s="1945" t="s">
        <v>2573</v>
      </c>
      <c r="E1208" s="1945" t="s">
        <v>2637</v>
      </c>
      <c r="F1208" s="1946">
        <v>10430</v>
      </c>
      <c r="G1208" s="1946">
        <v>6060000</v>
      </c>
      <c r="H1208" s="1944" t="s">
        <v>2388</v>
      </c>
      <c r="I1208" s="1947" t="s">
        <v>2572</v>
      </c>
      <c r="J1208" s="2026">
        <v>62310000</v>
      </c>
    </row>
    <row r="1209" spans="1:10" ht="15">
      <c r="A1209" s="1949" t="s">
        <v>2574</v>
      </c>
      <c r="B1209" s="1943">
        <v>13</v>
      </c>
      <c r="C1209" s="1945" t="s">
        <v>2575</v>
      </c>
      <c r="D1209" s="1945" t="s">
        <v>2576</v>
      </c>
      <c r="E1209" s="1945" t="s">
        <v>2637</v>
      </c>
      <c r="F1209" s="1946">
        <v>10430</v>
      </c>
      <c r="G1209" s="1946">
        <v>6060000</v>
      </c>
      <c r="H1209" s="1944" t="s">
        <v>2388</v>
      </c>
      <c r="I1209" s="1947" t="s">
        <v>2572</v>
      </c>
      <c r="J1209" s="2026">
        <v>13180000</v>
      </c>
    </row>
    <row r="1210" spans="1:10" ht="15">
      <c r="A1210" s="1949" t="s">
        <v>2577</v>
      </c>
      <c r="B1210" s="1943">
        <v>13</v>
      </c>
      <c r="C1210" s="1945" t="s">
        <v>2578</v>
      </c>
      <c r="D1210" s="1945" t="s">
        <v>2580</v>
      </c>
      <c r="E1210" s="1945" t="s">
        <v>2637</v>
      </c>
      <c r="F1210" s="1946">
        <v>10430</v>
      </c>
      <c r="G1210" s="1946">
        <v>6060000</v>
      </c>
      <c r="H1210" s="1944" t="s">
        <v>2388</v>
      </c>
      <c r="I1210" s="1947" t="s">
        <v>2579</v>
      </c>
      <c r="J1210" s="2026">
        <v>6830000</v>
      </c>
    </row>
    <row r="1211" spans="1:10" ht="15">
      <c r="A1211" s="1949" t="s">
        <v>2581</v>
      </c>
      <c r="B1211" s="1943">
        <v>13</v>
      </c>
      <c r="C1211" s="1945" t="s">
        <v>2582</v>
      </c>
      <c r="D1211" s="1945" t="s">
        <v>2583</v>
      </c>
      <c r="E1211" s="1945" t="s">
        <v>2637</v>
      </c>
      <c r="F1211" s="1946">
        <v>10430</v>
      </c>
      <c r="G1211" s="1946">
        <v>6060000</v>
      </c>
      <c r="H1211" s="1944" t="s">
        <v>2388</v>
      </c>
      <c r="I1211" s="1947" t="s">
        <v>2579</v>
      </c>
      <c r="J1211" s="2026">
        <v>4610000</v>
      </c>
    </row>
    <row r="1212" spans="1:10" ht="15">
      <c r="A1212" s="1949" t="s">
        <v>2584</v>
      </c>
      <c r="B1212" s="1943">
        <v>13</v>
      </c>
      <c r="C1212" s="1945" t="s">
        <v>2585</v>
      </c>
      <c r="D1212" s="1945" t="s">
        <v>2586</v>
      </c>
      <c r="E1212" s="1945" t="s">
        <v>2637</v>
      </c>
      <c r="F1212" s="1946">
        <v>10430</v>
      </c>
      <c r="G1212" s="1946">
        <v>6060000</v>
      </c>
      <c r="H1212" s="1944" t="s">
        <v>2388</v>
      </c>
      <c r="I1212" s="1947" t="s">
        <v>2372</v>
      </c>
      <c r="J1212" s="2026">
        <v>187800000</v>
      </c>
    </row>
    <row r="1213" spans="1:10" ht="15">
      <c r="A1213" s="1949" t="s">
        <v>2587</v>
      </c>
      <c r="B1213" s="1943">
        <v>13</v>
      </c>
      <c r="C1213" s="1945" t="s">
        <v>2588</v>
      </c>
      <c r="D1213" s="1945" t="s">
        <v>2589</v>
      </c>
      <c r="E1213" s="1945" t="s">
        <v>2637</v>
      </c>
      <c r="F1213" s="1946">
        <v>10430</v>
      </c>
      <c r="G1213" s="1946">
        <v>6060000</v>
      </c>
      <c r="H1213" s="1944" t="s">
        <v>2388</v>
      </c>
      <c r="I1213" s="1947" t="s">
        <v>2372</v>
      </c>
      <c r="J1213" s="2026">
        <v>37800000</v>
      </c>
    </row>
    <row r="1214" spans="1:10" ht="15">
      <c r="A1214" s="1949" t="s">
        <v>2590</v>
      </c>
      <c r="B1214" s="1943">
        <v>13</v>
      </c>
      <c r="C1214" s="1945" t="s">
        <v>2591</v>
      </c>
      <c r="D1214" s="1945" t="s">
        <v>2592</v>
      </c>
      <c r="E1214" s="1945" t="s">
        <v>2637</v>
      </c>
      <c r="F1214" s="1946">
        <v>10430</v>
      </c>
      <c r="G1214" s="1946">
        <v>6060000</v>
      </c>
      <c r="H1214" s="1944" t="s">
        <v>2388</v>
      </c>
      <c r="I1214" s="1947" t="s">
        <v>2372</v>
      </c>
      <c r="J1214" s="2026">
        <v>10060000</v>
      </c>
    </row>
    <row r="1215" spans="1:10" ht="15">
      <c r="A1215" s="1949" t="s">
        <v>2593</v>
      </c>
      <c r="B1215" s="1943">
        <v>13</v>
      </c>
      <c r="C1215" s="1945" t="s">
        <v>2594</v>
      </c>
      <c r="D1215" s="1945" t="s">
        <v>2596</v>
      </c>
      <c r="E1215" s="1945" t="s">
        <v>2637</v>
      </c>
      <c r="F1215" s="1946">
        <v>10430</v>
      </c>
      <c r="G1215" s="1946">
        <v>6060000</v>
      </c>
      <c r="H1215" s="1944" t="s">
        <v>2388</v>
      </c>
      <c r="I1215" s="1947" t="s">
        <v>2595</v>
      </c>
      <c r="J1215" s="2026">
        <v>18190000</v>
      </c>
    </row>
    <row r="1216" spans="1:10" ht="15">
      <c r="A1216" s="1949" t="s">
        <v>2597</v>
      </c>
      <c r="B1216" s="1943">
        <v>13</v>
      </c>
      <c r="C1216" s="1945" t="s">
        <v>2598</v>
      </c>
      <c r="D1216" s="1945" t="s">
        <v>2599</v>
      </c>
      <c r="E1216" s="1945" t="s">
        <v>2637</v>
      </c>
      <c r="F1216" s="1946">
        <v>10430</v>
      </c>
      <c r="G1216" s="1946">
        <v>6060000</v>
      </c>
      <c r="H1216" s="1944" t="s">
        <v>2388</v>
      </c>
      <c r="I1216" s="1947" t="s">
        <v>2595</v>
      </c>
      <c r="J1216" s="2026">
        <v>9810000</v>
      </c>
    </row>
    <row r="1217" spans="1:10" ht="15">
      <c r="A1217" s="1949" t="s">
        <v>2600</v>
      </c>
      <c r="B1217" s="1943">
        <v>13</v>
      </c>
      <c r="C1217" s="1945" t="s">
        <v>2601</v>
      </c>
      <c r="D1217" s="1945" t="s">
        <v>2602</v>
      </c>
      <c r="E1217" s="1945" t="s">
        <v>2637</v>
      </c>
      <c r="F1217" s="1946">
        <v>10430</v>
      </c>
      <c r="G1217" s="1946">
        <v>6060000</v>
      </c>
      <c r="H1217" s="1944" t="s">
        <v>2388</v>
      </c>
      <c r="I1217" s="1947" t="s">
        <v>2336</v>
      </c>
      <c r="J1217" s="2026">
        <v>47690000</v>
      </c>
    </row>
    <row r="1218" spans="1:10" ht="15">
      <c r="A1218" s="1949" t="s">
        <v>2603</v>
      </c>
      <c r="B1218" s="1943">
        <v>13</v>
      </c>
      <c r="C1218" s="1945" t="s">
        <v>2604</v>
      </c>
      <c r="D1218" s="1945" t="s">
        <v>2605</v>
      </c>
      <c r="E1218" s="1945" t="s">
        <v>2637</v>
      </c>
      <c r="F1218" s="1946">
        <v>10430</v>
      </c>
      <c r="G1218" s="1946">
        <v>6060000</v>
      </c>
      <c r="H1218" s="1944" t="s">
        <v>2388</v>
      </c>
      <c r="I1218" s="1947" t="s">
        <v>2336</v>
      </c>
      <c r="J1218" s="2026">
        <v>8900000</v>
      </c>
    </row>
    <row r="1219" spans="1:10" ht="15">
      <c r="A1219" s="1949" t="s">
        <v>2606</v>
      </c>
      <c r="B1219" s="1943">
        <v>13</v>
      </c>
      <c r="C1219" s="1945" t="s">
        <v>2607</v>
      </c>
      <c r="D1219" s="1945" t="s">
        <v>2608</v>
      </c>
      <c r="E1219" s="1945" t="s">
        <v>2637</v>
      </c>
      <c r="F1219" s="1946">
        <v>10430</v>
      </c>
      <c r="G1219" s="1946">
        <v>6060000</v>
      </c>
      <c r="H1219" s="1944" t="s">
        <v>2388</v>
      </c>
      <c r="I1219" s="1947" t="s">
        <v>2336</v>
      </c>
      <c r="J1219" s="2026">
        <v>3860000</v>
      </c>
    </row>
    <row r="1220" spans="1:10" ht="15">
      <c r="A1220" s="1949" t="s">
        <v>2609</v>
      </c>
      <c r="B1220" s="1943">
        <v>13</v>
      </c>
      <c r="C1220" s="1945" t="s">
        <v>2610</v>
      </c>
      <c r="D1220" s="1945" t="s">
        <v>2612</v>
      </c>
      <c r="E1220" s="1945" t="s">
        <v>2637</v>
      </c>
      <c r="F1220" s="1946">
        <v>10430</v>
      </c>
      <c r="G1220" s="1946">
        <v>6060000</v>
      </c>
      <c r="H1220" s="1944" t="s">
        <v>2388</v>
      </c>
      <c r="I1220" s="1947" t="s">
        <v>2611</v>
      </c>
      <c r="J1220" s="2026">
        <v>15230000</v>
      </c>
    </row>
    <row r="1221" spans="1:10" ht="15">
      <c r="A1221" s="1949" t="s">
        <v>2613</v>
      </c>
      <c r="B1221" s="1943">
        <v>13</v>
      </c>
      <c r="C1221" s="1945" t="s">
        <v>2614</v>
      </c>
      <c r="D1221" s="1945" t="s">
        <v>2615</v>
      </c>
      <c r="E1221" s="1945" t="s">
        <v>2637</v>
      </c>
      <c r="F1221" s="1946">
        <v>10430</v>
      </c>
      <c r="G1221" s="1946">
        <v>6060000</v>
      </c>
      <c r="H1221" s="1944" t="s">
        <v>2388</v>
      </c>
      <c r="I1221" s="1947" t="s">
        <v>2611</v>
      </c>
      <c r="J1221" s="2026">
        <v>2980000</v>
      </c>
    </row>
    <row r="1222" spans="1:10" ht="15">
      <c r="A1222" s="1942" t="s">
        <v>2616</v>
      </c>
      <c r="B1222" s="1943">
        <v>13</v>
      </c>
      <c r="C1222" s="1944" t="s">
        <v>2617</v>
      </c>
      <c r="D1222" s="1944" t="s">
        <v>2619</v>
      </c>
      <c r="E1222" s="1945" t="s">
        <v>2637</v>
      </c>
      <c r="F1222" s="1946">
        <v>10430</v>
      </c>
      <c r="G1222" s="1946">
        <v>6060000</v>
      </c>
      <c r="H1222" s="1944" t="s">
        <v>2388</v>
      </c>
      <c r="I1222" s="1951" t="s">
        <v>2618</v>
      </c>
      <c r="J1222" s="2026">
        <v>8180000</v>
      </c>
    </row>
    <row r="1223" spans="1:10" ht="15.75" thickBot="1">
      <c r="A1223" s="2005" t="s">
        <v>2620</v>
      </c>
      <c r="B1223" s="2027"/>
      <c r="C1223" s="2006" t="s">
        <v>2621</v>
      </c>
      <c r="D1223" s="2006" t="s">
        <v>2622</v>
      </c>
      <c r="E1223" s="2006" t="s">
        <v>2637</v>
      </c>
      <c r="F1223" s="2008">
        <v>10430</v>
      </c>
      <c r="G1223" s="2008">
        <v>6060000</v>
      </c>
      <c r="H1223" s="2028" t="s">
        <v>2388</v>
      </c>
      <c r="I1223" s="2009" t="s">
        <v>2618</v>
      </c>
      <c r="J1223" s="2029">
        <v>5760000</v>
      </c>
    </row>
    <row r="1224" spans="1:10" ht="15.75" thickBot="1">
      <c r="A1224" s="2869" t="s">
        <v>2688</v>
      </c>
      <c r="B1224" s="2870"/>
      <c r="C1224" s="2870"/>
      <c r="D1224" s="2870"/>
      <c r="E1224" s="2870"/>
      <c r="F1224" s="2870"/>
      <c r="G1224" s="2870"/>
      <c r="H1224" s="2870"/>
      <c r="I1224" s="2871"/>
      <c r="J1224" s="2030">
        <f>SUM(J1225:J1227)</f>
        <v>2125172000</v>
      </c>
    </row>
    <row r="1225" spans="1:10" ht="15">
      <c r="A1225" s="2031" t="s">
        <v>2316</v>
      </c>
      <c r="B1225" s="2032">
        <v>13</v>
      </c>
      <c r="C1225" s="2032" t="s">
        <v>2384</v>
      </c>
      <c r="D1225" s="2033" t="s">
        <v>2689</v>
      </c>
      <c r="E1225" s="2032" t="s">
        <v>2637</v>
      </c>
      <c r="F1225" s="2034">
        <v>10430</v>
      </c>
      <c r="G1225" s="1938">
        <v>6060000</v>
      </c>
      <c r="H1225" s="1939" t="s">
        <v>2387</v>
      </c>
      <c r="I1225" s="2035">
        <v>3535</v>
      </c>
      <c r="J1225" s="2036">
        <f>SUM(J1102:J1162)-J1227</f>
        <v>695660000</v>
      </c>
    </row>
    <row r="1226" spans="1:10" ht="15">
      <c r="A1226" s="2037" t="s">
        <v>2316</v>
      </c>
      <c r="B1226" s="2038">
        <v>13</v>
      </c>
      <c r="C1226" s="2038" t="s">
        <v>2384</v>
      </c>
      <c r="D1226" s="2039" t="s">
        <v>2689</v>
      </c>
      <c r="E1226" s="2038" t="s">
        <v>2637</v>
      </c>
      <c r="F1226" s="2040">
        <v>10430</v>
      </c>
      <c r="G1226" s="1946">
        <v>6060000</v>
      </c>
      <c r="H1226" s="1944" t="s">
        <v>2388</v>
      </c>
      <c r="I1226" s="2041">
        <v>3535</v>
      </c>
      <c r="J1226" s="2042">
        <f>SUM(J1163:J1223)</f>
        <v>1429112000</v>
      </c>
    </row>
    <row r="1227" spans="1:10" ht="15.75" thickBot="1">
      <c r="A1227" s="2043" t="s">
        <v>2616</v>
      </c>
      <c r="B1227" s="2010">
        <v>13</v>
      </c>
      <c r="C1227" s="1957" t="s">
        <v>2617</v>
      </c>
      <c r="D1227" s="1957" t="s">
        <v>2619</v>
      </c>
      <c r="E1227" s="1955" t="s">
        <v>2637</v>
      </c>
      <c r="F1227" s="1956">
        <v>10430</v>
      </c>
      <c r="G1227" s="1956">
        <v>6060000</v>
      </c>
      <c r="H1227" s="1957" t="s">
        <v>2387</v>
      </c>
      <c r="I1227" s="2044" t="s">
        <v>2618</v>
      </c>
      <c r="J1227" s="2045">
        <v>400000</v>
      </c>
    </row>
    <row r="1228" spans="1:10" ht="15">
      <c r="A1228" s="1983"/>
      <c r="B1228" s="1984"/>
      <c r="C1228" s="1984"/>
      <c r="D1228" s="1985"/>
      <c r="E1228" s="1984"/>
      <c r="F1228" s="1986"/>
      <c r="G1228" s="1987"/>
      <c r="H1228" s="1988"/>
      <c r="I1228" s="1984"/>
      <c r="J1228" s="2046"/>
    </row>
    <row r="1229" spans="1:10" ht="15">
      <c r="A1229" s="1983"/>
      <c r="B1229" s="1984"/>
      <c r="C1229" s="1984"/>
      <c r="D1229" s="1985"/>
      <c r="E1229" s="1984"/>
      <c r="F1229" s="1986"/>
      <c r="G1229" s="1987"/>
      <c r="H1229" s="1988"/>
      <c r="I1229" s="1984"/>
      <c r="J1229" s="2046"/>
    </row>
    <row r="1230" spans="1:10" ht="15">
      <c r="A1230" s="1983"/>
      <c r="B1230" s="1984"/>
      <c r="C1230" s="1984"/>
      <c r="D1230" s="1985"/>
      <c r="E1230" s="1984"/>
      <c r="F1230" s="1986"/>
      <c r="G1230" s="1987"/>
      <c r="H1230" s="1988"/>
      <c r="I1230" s="1984"/>
      <c r="J1230" s="2046">
        <f>J1225+J1227</f>
        <v>696060000</v>
      </c>
    </row>
    <row r="1231" spans="1:10" ht="15">
      <c r="A1231" s="1983"/>
      <c r="B1231" s="1984"/>
      <c r="C1231" s="1984"/>
      <c r="D1231" s="1985"/>
      <c r="E1231" s="1984"/>
      <c r="F1231" s="1986"/>
      <c r="G1231" s="2872" t="s">
        <v>2707</v>
      </c>
      <c r="H1231" s="2872"/>
      <c r="I1231" s="2872"/>
      <c r="J1231" s="2046"/>
    </row>
    <row r="1232" spans="1:10" ht="15">
      <c r="A1232" s="1983"/>
      <c r="B1232" s="1984"/>
      <c r="C1232" s="1984"/>
      <c r="D1232" s="1985"/>
      <c r="E1232" s="1984"/>
      <c r="F1232" s="1986"/>
      <c r="G1232" s="1990"/>
      <c r="H1232" s="1990"/>
      <c r="I1232" s="1990"/>
      <c r="J1232" s="2046"/>
    </row>
    <row r="1233" spans="1:10" ht="15">
      <c r="A1233" s="1920"/>
      <c r="B1233" s="1920"/>
      <c r="C1233" s="1920"/>
      <c r="D1233" s="1920"/>
      <c r="E1233" s="1920"/>
      <c r="F1233" s="1920"/>
      <c r="G1233" s="2872" t="s">
        <v>2708</v>
      </c>
      <c r="H1233" s="2872"/>
      <c r="I1233" s="2872"/>
      <c r="J1233" s="1922"/>
    </row>
    <row r="1234" spans="1:10" ht="15">
      <c r="A1234" s="1920"/>
      <c r="B1234" s="1920"/>
      <c r="C1234" s="1920"/>
      <c r="D1234" s="1920"/>
      <c r="E1234" s="1920"/>
      <c r="F1234" s="1920"/>
      <c r="G1234" s="1991"/>
      <c r="H1234" s="1992"/>
      <c r="I1234" s="1993"/>
      <c r="J1234" s="1922"/>
    </row>
    <row r="1235" spans="1:10" ht="15">
      <c r="A1235" s="1920"/>
      <c r="B1235" s="1920"/>
      <c r="C1235" s="1920" t="s">
        <v>2709</v>
      </c>
      <c r="D1235" s="1920"/>
      <c r="E1235" s="1920"/>
      <c r="F1235" s="1920"/>
      <c r="G1235" s="1920"/>
      <c r="H1235" s="1920"/>
      <c r="I1235" s="1920"/>
      <c r="J1235" s="1922"/>
    </row>
    <row r="1236" spans="1:10" ht="15.75" thickBot="1">
      <c r="A1236" s="1994"/>
      <c r="B1236" s="1994"/>
      <c r="C1236" s="1994"/>
      <c r="D1236" s="1994"/>
      <c r="E1236" s="1994"/>
      <c r="F1236" s="1994"/>
      <c r="G1236" s="1994"/>
      <c r="H1236" s="1994"/>
      <c r="I1236" s="1994"/>
      <c r="J1236" s="1922"/>
    </row>
    <row r="1237" spans="1:10" ht="45.75" thickBot="1">
      <c r="A1237" s="2047" t="s">
        <v>2696</v>
      </c>
      <c r="B1237" s="2048" t="s">
        <v>2303</v>
      </c>
      <c r="C1237" s="2048" t="s">
        <v>2304</v>
      </c>
      <c r="D1237" s="2048" t="s">
        <v>2305</v>
      </c>
      <c r="E1237" s="2048" t="s">
        <v>2699</v>
      </c>
      <c r="F1237" s="2049" t="s">
        <v>2306</v>
      </c>
      <c r="G1237" s="2048" t="s">
        <v>2307</v>
      </c>
      <c r="H1237" s="2048" t="s">
        <v>87</v>
      </c>
      <c r="I1237" s="2050" t="s">
        <v>2703</v>
      </c>
      <c r="J1237" s="2020" t="s">
        <v>2314</v>
      </c>
    </row>
    <row r="1238" spans="1:10" ht="15.75" thickBot="1">
      <c r="A1238" s="2873" t="s">
        <v>2636</v>
      </c>
      <c r="B1238" s="2874"/>
      <c r="C1238" s="2874"/>
      <c r="D1238" s="2874"/>
      <c r="E1238" s="2874"/>
      <c r="F1238" s="2874"/>
      <c r="G1238" s="2874"/>
      <c r="H1238" s="2874"/>
      <c r="I1238" s="2875"/>
      <c r="J1238" s="2051">
        <f>SUM(J1239:J1299)</f>
        <v>2124772000</v>
      </c>
    </row>
    <row r="1239" spans="1:10" ht="15">
      <c r="A1239" s="2052" t="s">
        <v>2712</v>
      </c>
      <c r="B1239" s="1937" t="s">
        <v>2417</v>
      </c>
      <c r="C1239" s="1936">
        <v>13</v>
      </c>
      <c r="D1239" s="1937" t="s">
        <v>2418</v>
      </c>
      <c r="E1239" s="1937" t="s">
        <v>2419</v>
      </c>
      <c r="F1239" s="1937" t="s">
        <v>2637</v>
      </c>
      <c r="G1239" s="1938">
        <v>10430</v>
      </c>
      <c r="H1239" s="1938">
        <v>6029999</v>
      </c>
      <c r="I1239" s="2053" t="s">
        <v>2361</v>
      </c>
      <c r="J1239" s="2054">
        <v>38150000</v>
      </c>
    </row>
    <row r="1240" spans="1:10" ht="15">
      <c r="A1240" s="1945" t="s">
        <v>2712</v>
      </c>
      <c r="B1240" s="1944" t="s">
        <v>2420</v>
      </c>
      <c r="C1240" s="1943">
        <v>13</v>
      </c>
      <c r="D1240" s="1944" t="s">
        <v>2421</v>
      </c>
      <c r="E1240" s="1945" t="s">
        <v>2422</v>
      </c>
      <c r="F1240" s="1945" t="s">
        <v>2637</v>
      </c>
      <c r="G1240" s="1946">
        <v>10430</v>
      </c>
      <c r="H1240" s="1946">
        <v>6029999</v>
      </c>
      <c r="I1240" s="2055" t="s">
        <v>2361</v>
      </c>
      <c r="J1240" s="2054">
        <v>14350000</v>
      </c>
    </row>
    <row r="1241" spans="1:10" ht="15">
      <c r="A1241" s="1945" t="s">
        <v>2712</v>
      </c>
      <c r="B1241" s="1945" t="s">
        <v>2423</v>
      </c>
      <c r="C1241" s="1943">
        <v>13</v>
      </c>
      <c r="D1241" s="1945" t="s">
        <v>2424</v>
      </c>
      <c r="E1241" s="1945" t="s">
        <v>2426</v>
      </c>
      <c r="F1241" s="1945" t="s">
        <v>2637</v>
      </c>
      <c r="G1241" s="1946">
        <v>10430</v>
      </c>
      <c r="H1241" s="1946">
        <v>6029999</v>
      </c>
      <c r="I1241" s="2055" t="s">
        <v>2425</v>
      </c>
      <c r="J1241" s="2054">
        <v>17600000</v>
      </c>
    </row>
    <row r="1242" spans="1:10" ht="15">
      <c r="A1242" s="1945" t="s">
        <v>2712</v>
      </c>
      <c r="B1242" s="1945" t="s">
        <v>2427</v>
      </c>
      <c r="C1242" s="1943">
        <v>13</v>
      </c>
      <c r="D1242" s="1945" t="s">
        <v>2428</v>
      </c>
      <c r="E1242" s="1945" t="s">
        <v>2429</v>
      </c>
      <c r="F1242" s="1945" t="s">
        <v>2637</v>
      </c>
      <c r="G1242" s="1946">
        <v>10430</v>
      </c>
      <c r="H1242" s="1946">
        <v>6029999</v>
      </c>
      <c r="I1242" s="2055" t="s">
        <v>2333</v>
      </c>
      <c r="J1242" s="2054">
        <v>11670000</v>
      </c>
    </row>
    <row r="1243" spans="1:10" ht="15">
      <c r="A1243" s="1945" t="s">
        <v>2712</v>
      </c>
      <c r="B1243" s="1945" t="s">
        <v>2331</v>
      </c>
      <c r="C1243" s="1943">
        <v>13</v>
      </c>
      <c r="D1243" s="1945" t="s">
        <v>2430</v>
      </c>
      <c r="E1243" s="1945" t="s">
        <v>2431</v>
      </c>
      <c r="F1243" s="1945" t="s">
        <v>2637</v>
      </c>
      <c r="G1243" s="1946">
        <v>10430</v>
      </c>
      <c r="H1243" s="1946">
        <v>6029999</v>
      </c>
      <c r="I1243" s="2055" t="s">
        <v>2333</v>
      </c>
      <c r="J1243" s="2054">
        <v>7680000</v>
      </c>
    </row>
    <row r="1244" spans="1:10" ht="15">
      <c r="A1244" s="1945" t="s">
        <v>2712</v>
      </c>
      <c r="B1244" s="1945">
        <v>106</v>
      </c>
      <c r="C1244" s="1943">
        <v>13</v>
      </c>
      <c r="D1244" s="1945">
        <v>2106001</v>
      </c>
      <c r="E1244" s="1945" t="s">
        <v>2432</v>
      </c>
      <c r="F1244" s="1945" t="s">
        <v>2637</v>
      </c>
      <c r="G1244" s="1946">
        <v>10430</v>
      </c>
      <c r="H1244" s="1946">
        <v>6029999</v>
      </c>
      <c r="I1244" s="2055" t="s">
        <v>2392</v>
      </c>
      <c r="J1244" s="2054">
        <v>105640000</v>
      </c>
    </row>
    <row r="1245" spans="1:10" ht="15">
      <c r="A1245" s="1945" t="s">
        <v>2712</v>
      </c>
      <c r="B1245" s="1945" t="s">
        <v>2433</v>
      </c>
      <c r="C1245" s="1943">
        <v>13</v>
      </c>
      <c r="D1245" s="1945" t="s">
        <v>2434</v>
      </c>
      <c r="E1245" s="1945" t="s">
        <v>2436</v>
      </c>
      <c r="F1245" s="1945" t="s">
        <v>2637</v>
      </c>
      <c r="G1245" s="1946">
        <v>10430</v>
      </c>
      <c r="H1245" s="1946">
        <v>6029999</v>
      </c>
      <c r="I1245" s="2055" t="s">
        <v>2435</v>
      </c>
      <c r="J1245" s="2054">
        <v>34320000</v>
      </c>
    </row>
    <row r="1246" spans="1:10" ht="15">
      <c r="A1246" s="1945" t="s">
        <v>2712</v>
      </c>
      <c r="B1246" s="1945" t="s">
        <v>2437</v>
      </c>
      <c r="C1246" s="1943">
        <v>13</v>
      </c>
      <c r="D1246" s="1945" t="s">
        <v>2438</v>
      </c>
      <c r="E1246" s="1945" t="s">
        <v>2440</v>
      </c>
      <c r="F1246" s="1945" t="s">
        <v>2637</v>
      </c>
      <c r="G1246" s="1946">
        <v>10430</v>
      </c>
      <c r="H1246" s="1946">
        <v>6029999</v>
      </c>
      <c r="I1246" s="2056" t="s">
        <v>2439</v>
      </c>
      <c r="J1246" s="2054">
        <v>33520000</v>
      </c>
    </row>
    <row r="1247" spans="1:10" ht="15">
      <c r="A1247" s="1945" t="s">
        <v>2712</v>
      </c>
      <c r="B1247" s="1945" t="s">
        <v>2441</v>
      </c>
      <c r="C1247" s="1943">
        <v>13</v>
      </c>
      <c r="D1247" s="1945" t="s">
        <v>2442</v>
      </c>
      <c r="E1247" s="1945" t="s">
        <v>2443</v>
      </c>
      <c r="F1247" s="1945" t="s">
        <v>2637</v>
      </c>
      <c r="G1247" s="1946">
        <v>10430</v>
      </c>
      <c r="H1247" s="1946">
        <v>6029999</v>
      </c>
      <c r="I1247" s="2056" t="s">
        <v>2439</v>
      </c>
      <c r="J1247" s="2054">
        <v>24490000</v>
      </c>
    </row>
    <row r="1248" spans="1:10" ht="15">
      <c r="A1248" s="1945" t="s">
        <v>2712</v>
      </c>
      <c r="B1248" s="1945" t="s">
        <v>2444</v>
      </c>
      <c r="C1248" s="1943">
        <v>13</v>
      </c>
      <c r="D1248" s="1945" t="s">
        <v>2445</v>
      </c>
      <c r="E1248" s="1945" t="s">
        <v>2446</v>
      </c>
      <c r="F1248" s="1945" t="s">
        <v>2637</v>
      </c>
      <c r="G1248" s="1946">
        <v>10430</v>
      </c>
      <c r="H1248" s="1946">
        <v>6029999</v>
      </c>
      <c r="I1248" s="2055" t="s">
        <v>2349</v>
      </c>
      <c r="J1248" s="2054">
        <v>92930000</v>
      </c>
    </row>
    <row r="1249" spans="1:10" ht="15">
      <c r="A1249" s="1945" t="s">
        <v>2712</v>
      </c>
      <c r="B1249" s="1945" t="s">
        <v>2447</v>
      </c>
      <c r="C1249" s="1943">
        <v>13</v>
      </c>
      <c r="D1249" s="1945" t="s">
        <v>2448</v>
      </c>
      <c r="E1249" s="1945" t="s">
        <v>2449</v>
      </c>
      <c r="F1249" s="1945" t="s">
        <v>2637</v>
      </c>
      <c r="G1249" s="1946">
        <v>10430</v>
      </c>
      <c r="H1249" s="1946">
        <v>6029999</v>
      </c>
      <c r="I1249" s="2055" t="s">
        <v>2349</v>
      </c>
      <c r="J1249" s="2054">
        <v>17270000</v>
      </c>
    </row>
    <row r="1250" spans="1:10" ht="15">
      <c r="A1250" s="1945" t="s">
        <v>2712</v>
      </c>
      <c r="B1250" s="1945" t="s">
        <v>2450</v>
      </c>
      <c r="C1250" s="1943">
        <v>13</v>
      </c>
      <c r="D1250" s="1945" t="s">
        <v>2451</v>
      </c>
      <c r="E1250" s="1945" t="s">
        <v>2453</v>
      </c>
      <c r="F1250" s="1945" t="s">
        <v>2637</v>
      </c>
      <c r="G1250" s="1946">
        <v>10430</v>
      </c>
      <c r="H1250" s="1946">
        <v>6029999</v>
      </c>
      <c r="I1250" s="2055" t="s">
        <v>2452</v>
      </c>
      <c r="J1250" s="2054">
        <v>31270000</v>
      </c>
    </row>
    <row r="1251" spans="1:10" ht="15">
      <c r="A1251" s="1945" t="s">
        <v>2712</v>
      </c>
      <c r="B1251" s="1945" t="s">
        <v>2454</v>
      </c>
      <c r="C1251" s="1943">
        <v>13</v>
      </c>
      <c r="D1251" s="1945" t="s">
        <v>2455</v>
      </c>
      <c r="E1251" s="1945" t="s">
        <v>2456</v>
      </c>
      <c r="F1251" s="1945" t="s">
        <v>2637</v>
      </c>
      <c r="G1251" s="1946">
        <v>10430</v>
      </c>
      <c r="H1251" s="1946">
        <v>6029999</v>
      </c>
      <c r="I1251" s="2055" t="s">
        <v>2397</v>
      </c>
      <c r="J1251" s="2054">
        <v>179070000</v>
      </c>
    </row>
    <row r="1252" spans="1:10" ht="15">
      <c r="A1252" s="1945" t="s">
        <v>2712</v>
      </c>
      <c r="B1252" s="1945" t="s">
        <v>2457</v>
      </c>
      <c r="C1252" s="1943">
        <v>13</v>
      </c>
      <c r="D1252" s="1945" t="s">
        <v>2458</v>
      </c>
      <c r="E1252" s="1945" t="s">
        <v>2459</v>
      </c>
      <c r="F1252" s="1945" t="s">
        <v>2637</v>
      </c>
      <c r="G1252" s="1946">
        <v>10430</v>
      </c>
      <c r="H1252" s="1946">
        <v>6029999</v>
      </c>
      <c r="I1252" s="2055" t="s">
        <v>2397</v>
      </c>
      <c r="J1252" s="2054">
        <v>27870000</v>
      </c>
    </row>
    <row r="1253" spans="1:10" ht="15">
      <c r="A1253" s="1945" t="s">
        <v>2712</v>
      </c>
      <c r="B1253" s="1945" t="s">
        <v>2460</v>
      </c>
      <c r="C1253" s="1943">
        <v>13</v>
      </c>
      <c r="D1253" s="1945" t="s">
        <v>2461</v>
      </c>
      <c r="E1253" s="1945" t="s">
        <v>2462</v>
      </c>
      <c r="F1253" s="1945" t="s">
        <v>2637</v>
      </c>
      <c r="G1253" s="1946">
        <v>10430</v>
      </c>
      <c r="H1253" s="1946">
        <v>6029999</v>
      </c>
      <c r="I1253" s="2055" t="s">
        <v>2397</v>
      </c>
      <c r="J1253" s="2054">
        <v>24690000</v>
      </c>
    </row>
    <row r="1254" spans="1:10" ht="15">
      <c r="A1254" s="1945" t="s">
        <v>2712</v>
      </c>
      <c r="B1254" s="1945" t="s">
        <v>2463</v>
      </c>
      <c r="C1254" s="1943">
        <v>13</v>
      </c>
      <c r="D1254" s="1945" t="s">
        <v>2464</v>
      </c>
      <c r="E1254" s="1945" t="s">
        <v>2466</v>
      </c>
      <c r="F1254" s="1945" t="s">
        <v>2637</v>
      </c>
      <c r="G1254" s="1946">
        <v>10430</v>
      </c>
      <c r="H1254" s="1946">
        <v>6029999</v>
      </c>
      <c r="I1254" s="2055" t="s">
        <v>2465</v>
      </c>
      <c r="J1254" s="2054">
        <v>43790000</v>
      </c>
    </row>
    <row r="1255" spans="1:10" ht="15">
      <c r="A1255" s="1945" t="s">
        <v>2712</v>
      </c>
      <c r="B1255" s="1945" t="s">
        <v>2467</v>
      </c>
      <c r="C1255" s="1943">
        <v>13</v>
      </c>
      <c r="D1255" s="1945" t="s">
        <v>2468</v>
      </c>
      <c r="E1255" s="1945" t="s">
        <v>2470</v>
      </c>
      <c r="F1255" s="1945" t="s">
        <v>2637</v>
      </c>
      <c r="G1255" s="1946">
        <v>10430</v>
      </c>
      <c r="H1255" s="1946">
        <v>6029999</v>
      </c>
      <c r="I1255" s="2055" t="s">
        <v>2469</v>
      </c>
      <c r="J1255" s="2054">
        <v>45920000</v>
      </c>
    </row>
    <row r="1256" spans="1:10" ht="15">
      <c r="A1256" s="1945" t="s">
        <v>2712</v>
      </c>
      <c r="B1256" s="1945" t="s">
        <v>2471</v>
      </c>
      <c r="C1256" s="1943">
        <v>13</v>
      </c>
      <c r="D1256" s="1945" t="s">
        <v>2472</v>
      </c>
      <c r="E1256" s="1945" t="s">
        <v>2474</v>
      </c>
      <c r="F1256" s="1945" t="s">
        <v>2637</v>
      </c>
      <c r="G1256" s="1946">
        <v>10430</v>
      </c>
      <c r="H1256" s="1946">
        <v>6029999</v>
      </c>
      <c r="I1256" s="2055" t="s">
        <v>2473</v>
      </c>
      <c r="J1256" s="2054">
        <v>57260000</v>
      </c>
    </row>
    <row r="1257" spans="1:10" ht="15">
      <c r="A1257" s="1945" t="s">
        <v>2712</v>
      </c>
      <c r="B1257" s="1945" t="s">
        <v>2475</v>
      </c>
      <c r="C1257" s="1943">
        <v>13</v>
      </c>
      <c r="D1257" s="1945" t="s">
        <v>2476</v>
      </c>
      <c r="E1257" s="1945" t="s">
        <v>2477</v>
      </c>
      <c r="F1257" s="1945" t="s">
        <v>2637</v>
      </c>
      <c r="G1257" s="1946">
        <v>10430</v>
      </c>
      <c r="H1257" s="1946">
        <v>6029999</v>
      </c>
      <c r="I1257" s="2055" t="s">
        <v>2473</v>
      </c>
      <c r="J1257" s="2054">
        <v>45880000</v>
      </c>
    </row>
    <row r="1258" spans="1:10" ht="15">
      <c r="A1258" s="1945" t="s">
        <v>2712</v>
      </c>
      <c r="B1258" s="1945" t="s">
        <v>2478</v>
      </c>
      <c r="C1258" s="1943">
        <v>13</v>
      </c>
      <c r="D1258" s="1945" t="s">
        <v>2479</v>
      </c>
      <c r="E1258" s="1945" t="s">
        <v>2480</v>
      </c>
      <c r="F1258" s="1945" t="s">
        <v>2637</v>
      </c>
      <c r="G1258" s="1946">
        <v>10430</v>
      </c>
      <c r="H1258" s="1946">
        <v>6029999</v>
      </c>
      <c r="I1258" s="2055" t="s">
        <v>2325</v>
      </c>
      <c r="J1258" s="2054">
        <v>74570000</v>
      </c>
    </row>
    <row r="1259" spans="1:10" ht="15">
      <c r="A1259" s="1945" t="s">
        <v>2712</v>
      </c>
      <c r="B1259" s="1945" t="s">
        <v>2481</v>
      </c>
      <c r="C1259" s="1943">
        <v>13</v>
      </c>
      <c r="D1259" s="1945" t="s">
        <v>2482</v>
      </c>
      <c r="E1259" s="1945" t="s">
        <v>2483</v>
      </c>
      <c r="F1259" s="1945" t="s">
        <v>2637</v>
      </c>
      <c r="G1259" s="1946">
        <v>10430</v>
      </c>
      <c r="H1259" s="1946">
        <v>6029999</v>
      </c>
      <c r="I1259" s="2055" t="s">
        <v>2325</v>
      </c>
      <c r="J1259" s="2054">
        <v>15650000</v>
      </c>
    </row>
    <row r="1260" spans="1:10" ht="15">
      <c r="A1260" s="1945" t="s">
        <v>2712</v>
      </c>
      <c r="B1260" s="1945" t="s">
        <v>2484</v>
      </c>
      <c r="C1260" s="1943">
        <v>13</v>
      </c>
      <c r="D1260" s="1945" t="s">
        <v>2485</v>
      </c>
      <c r="E1260" s="1945" t="s">
        <v>2486</v>
      </c>
      <c r="F1260" s="1945" t="s">
        <v>2637</v>
      </c>
      <c r="G1260" s="1946">
        <v>10430</v>
      </c>
      <c r="H1260" s="1946">
        <v>6029999</v>
      </c>
      <c r="I1260" s="2055" t="s">
        <v>2325</v>
      </c>
      <c r="J1260" s="2054">
        <v>14570000</v>
      </c>
    </row>
    <row r="1261" spans="1:10" ht="15">
      <c r="A1261" s="1945" t="s">
        <v>2712</v>
      </c>
      <c r="B1261" s="1945" t="s">
        <v>2487</v>
      </c>
      <c r="C1261" s="1943">
        <v>13</v>
      </c>
      <c r="D1261" s="1945" t="s">
        <v>2488</v>
      </c>
      <c r="E1261" s="1945" t="s">
        <v>2490</v>
      </c>
      <c r="F1261" s="1945" t="s">
        <v>2637</v>
      </c>
      <c r="G1261" s="1946">
        <v>10430</v>
      </c>
      <c r="H1261" s="1946">
        <v>6029999</v>
      </c>
      <c r="I1261" s="2055" t="s">
        <v>2489</v>
      </c>
      <c r="J1261" s="2054">
        <v>50100000</v>
      </c>
    </row>
    <row r="1262" spans="1:10" ht="15">
      <c r="A1262" s="1945" t="s">
        <v>2712</v>
      </c>
      <c r="B1262" s="1945" t="s">
        <v>2491</v>
      </c>
      <c r="C1262" s="1943">
        <v>13</v>
      </c>
      <c r="D1262" s="1945" t="s">
        <v>2492</v>
      </c>
      <c r="E1262" s="1945" t="s">
        <v>2493</v>
      </c>
      <c r="F1262" s="1945" t="s">
        <v>2637</v>
      </c>
      <c r="G1262" s="1946">
        <v>10430</v>
      </c>
      <c r="H1262" s="1946">
        <v>6029999</v>
      </c>
      <c r="I1262" s="2055" t="s">
        <v>2489</v>
      </c>
      <c r="J1262" s="2054">
        <v>18670000</v>
      </c>
    </row>
    <row r="1263" spans="1:10" ht="15">
      <c r="A1263" s="1945" t="s">
        <v>2712</v>
      </c>
      <c r="B1263" s="1945" t="s">
        <v>2494</v>
      </c>
      <c r="C1263" s="1943">
        <v>13</v>
      </c>
      <c r="D1263" s="1945" t="s">
        <v>2495</v>
      </c>
      <c r="E1263" s="1945" t="s">
        <v>2497</v>
      </c>
      <c r="F1263" s="1945" t="s">
        <v>2637</v>
      </c>
      <c r="G1263" s="1946">
        <v>10430</v>
      </c>
      <c r="H1263" s="1946">
        <v>6029999</v>
      </c>
      <c r="I1263" s="2055" t="s">
        <v>2496</v>
      </c>
      <c r="J1263" s="2054">
        <v>18730000</v>
      </c>
    </row>
    <row r="1264" spans="1:10" ht="15">
      <c r="A1264" s="1945" t="s">
        <v>2712</v>
      </c>
      <c r="B1264" s="1945" t="s">
        <v>148</v>
      </c>
      <c r="C1264" s="1943">
        <v>13</v>
      </c>
      <c r="D1264" s="1945" t="s">
        <v>2498</v>
      </c>
      <c r="E1264" s="1945" t="s">
        <v>2500</v>
      </c>
      <c r="F1264" s="1945" t="s">
        <v>2637</v>
      </c>
      <c r="G1264" s="1946">
        <v>10430</v>
      </c>
      <c r="H1264" s="1946">
        <v>6029999</v>
      </c>
      <c r="I1264" s="2055" t="s">
        <v>2499</v>
      </c>
      <c r="J1264" s="2054">
        <v>13750000</v>
      </c>
    </row>
    <row r="1265" spans="1:10" ht="15">
      <c r="A1265" s="1945" t="s">
        <v>2712</v>
      </c>
      <c r="B1265" s="1945" t="s">
        <v>2501</v>
      </c>
      <c r="C1265" s="1943">
        <v>13</v>
      </c>
      <c r="D1265" s="1945" t="s">
        <v>2502</v>
      </c>
      <c r="E1265" s="1945" t="s">
        <v>2503</v>
      </c>
      <c r="F1265" s="1945" t="s">
        <v>2637</v>
      </c>
      <c r="G1265" s="1946">
        <v>10430</v>
      </c>
      <c r="H1265" s="1946">
        <v>6029999</v>
      </c>
      <c r="I1265" s="2055" t="s">
        <v>2499</v>
      </c>
      <c r="J1265" s="2054">
        <v>2420000</v>
      </c>
    </row>
    <row r="1266" spans="1:10" ht="15">
      <c r="A1266" s="1945" t="s">
        <v>2712</v>
      </c>
      <c r="B1266" s="1945" t="s">
        <v>2504</v>
      </c>
      <c r="C1266" s="1943">
        <v>13</v>
      </c>
      <c r="D1266" s="1945" t="s">
        <v>2505</v>
      </c>
      <c r="E1266" s="1945" t="s">
        <v>2507</v>
      </c>
      <c r="F1266" s="1945" t="s">
        <v>2637</v>
      </c>
      <c r="G1266" s="1946">
        <v>10430</v>
      </c>
      <c r="H1266" s="1946">
        <v>6029999</v>
      </c>
      <c r="I1266" s="2055" t="s">
        <v>2506</v>
      </c>
      <c r="J1266" s="2054">
        <v>9020000</v>
      </c>
    </row>
    <row r="1267" spans="1:10" ht="15">
      <c r="A1267" s="1945" t="s">
        <v>2712</v>
      </c>
      <c r="B1267" s="1945" t="s">
        <v>2508</v>
      </c>
      <c r="C1267" s="1943">
        <v>13</v>
      </c>
      <c r="D1267" s="1945" t="s">
        <v>2509</v>
      </c>
      <c r="E1267" s="1945" t="s">
        <v>2510</v>
      </c>
      <c r="F1267" s="1945" t="s">
        <v>2637</v>
      </c>
      <c r="G1267" s="1946">
        <v>10430</v>
      </c>
      <c r="H1267" s="1946">
        <v>6029999</v>
      </c>
      <c r="I1267" s="2055" t="s">
        <v>2506</v>
      </c>
      <c r="J1267" s="2054">
        <v>12480000</v>
      </c>
    </row>
    <row r="1268" spans="1:10" ht="15">
      <c r="A1268" s="1945" t="s">
        <v>2712</v>
      </c>
      <c r="B1268" s="1945" t="s">
        <v>2511</v>
      </c>
      <c r="C1268" s="1943">
        <v>13</v>
      </c>
      <c r="D1268" s="1945" t="s">
        <v>2512</v>
      </c>
      <c r="E1268" s="1945" t="s">
        <v>2514</v>
      </c>
      <c r="F1268" s="1945" t="s">
        <v>2637</v>
      </c>
      <c r="G1268" s="1946">
        <v>10430</v>
      </c>
      <c r="H1268" s="1946">
        <v>6029999</v>
      </c>
      <c r="I1268" s="2055" t="s">
        <v>2513</v>
      </c>
      <c r="J1268" s="2054">
        <v>7980000</v>
      </c>
    </row>
    <row r="1269" spans="1:10" ht="15">
      <c r="A1269" s="1945" t="s">
        <v>2712</v>
      </c>
      <c r="B1269" s="1945" t="s">
        <v>2515</v>
      </c>
      <c r="C1269" s="1943">
        <v>13</v>
      </c>
      <c r="D1269" s="1945" t="s">
        <v>2516</v>
      </c>
      <c r="E1269" s="1945" t="s">
        <v>2517</v>
      </c>
      <c r="F1269" s="1945" t="s">
        <v>2637</v>
      </c>
      <c r="G1269" s="1946">
        <v>10430</v>
      </c>
      <c r="H1269" s="1946">
        <v>6029999</v>
      </c>
      <c r="I1269" s="2055" t="s">
        <v>2513</v>
      </c>
      <c r="J1269" s="2054">
        <v>6410000</v>
      </c>
    </row>
    <row r="1270" spans="1:10" ht="15">
      <c r="A1270" s="1945" t="s">
        <v>2712</v>
      </c>
      <c r="B1270" s="1944" t="s">
        <v>2518</v>
      </c>
      <c r="C1270" s="1943">
        <v>13</v>
      </c>
      <c r="D1270" s="1944" t="s">
        <v>2519</v>
      </c>
      <c r="E1270" s="1944" t="s">
        <v>2520</v>
      </c>
      <c r="F1270" s="1945" t="s">
        <v>2637</v>
      </c>
      <c r="G1270" s="1946">
        <v>10430</v>
      </c>
      <c r="H1270" s="1946">
        <v>6029999</v>
      </c>
      <c r="I1270" s="2057" t="s">
        <v>2499</v>
      </c>
      <c r="J1270" s="2054">
        <v>3010000</v>
      </c>
    </row>
    <row r="1271" spans="1:10" ht="15">
      <c r="A1271" s="1945" t="s">
        <v>2712</v>
      </c>
      <c r="B1271" s="1945" t="s">
        <v>2521</v>
      </c>
      <c r="C1271" s="1943">
        <v>13</v>
      </c>
      <c r="D1271" s="1945" t="s">
        <v>2522</v>
      </c>
      <c r="E1271" s="1945" t="s">
        <v>2524</v>
      </c>
      <c r="F1271" s="1945" t="s">
        <v>2637</v>
      </c>
      <c r="G1271" s="1946">
        <v>10430</v>
      </c>
      <c r="H1271" s="1946">
        <v>6029999</v>
      </c>
      <c r="I1271" s="2055" t="s">
        <v>2523</v>
      </c>
      <c r="J1271" s="2054">
        <v>43330000</v>
      </c>
    </row>
    <row r="1272" spans="1:10" ht="15">
      <c r="A1272" s="1945" t="s">
        <v>2712</v>
      </c>
      <c r="B1272" s="1945" t="s">
        <v>2525</v>
      </c>
      <c r="C1272" s="1943">
        <v>13</v>
      </c>
      <c r="D1272" s="1945" t="s">
        <v>2526</v>
      </c>
      <c r="E1272" s="1945" t="s">
        <v>2527</v>
      </c>
      <c r="F1272" s="1945" t="s">
        <v>2637</v>
      </c>
      <c r="G1272" s="1946">
        <v>10430</v>
      </c>
      <c r="H1272" s="1946">
        <v>6029999</v>
      </c>
      <c r="I1272" s="2055" t="s">
        <v>2523</v>
      </c>
      <c r="J1272" s="2054">
        <v>39590000</v>
      </c>
    </row>
    <row r="1273" spans="1:10" ht="15">
      <c r="A1273" s="1945" t="s">
        <v>2712</v>
      </c>
      <c r="B1273" s="1944" t="s">
        <v>2528</v>
      </c>
      <c r="C1273" s="1943">
        <v>13</v>
      </c>
      <c r="D1273" s="1944" t="s">
        <v>2529</v>
      </c>
      <c r="E1273" s="1944" t="s">
        <v>2530</v>
      </c>
      <c r="F1273" s="1945" t="s">
        <v>2637</v>
      </c>
      <c r="G1273" s="1946">
        <v>10430</v>
      </c>
      <c r="H1273" s="1946">
        <v>6029999</v>
      </c>
      <c r="I1273" s="2057" t="s">
        <v>2523</v>
      </c>
      <c r="J1273" s="2054">
        <v>730000</v>
      </c>
    </row>
    <row r="1274" spans="1:10" ht="15">
      <c r="A1274" s="1945" t="s">
        <v>2712</v>
      </c>
      <c r="B1274" s="1945" t="s">
        <v>2531</v>
      </c>
      <c r="C1274" s="1943">
        <v>13</v>
      </c>
      <c r="D1274" s="1945" t="s">
        <v>2532</v>
      </c>
      <c r="E1274" s="1945" t="s">
        <v>2534</v>
      </c>
      <c r="F1274" s="1945" t="s">
        <v>2637</v>
      </c>
      <c r="G1274" s="1946">
        <v>10430</v>
      </c>
      <c r="H1274" s="1946">
        <v>6029999</v>
      </c>
      <c r="I1274" s="2055" t="s">
        <v>2533</v>
      </c>
      <c r="J1274" s="2054">
        <v>9640000</v>
      </c>
    </row>
    <row r="1275" spans="1:10" ht="15">
      <c r="A1275" s="1945" t="s">
        <v>2712</v>
      </c>
      <c r="B1275" s="1945" t="s">
        <v>2535</v>
      </c>
      <c r="C1275" s="1943">
        <v>13</v>
      </c>
      <c r="D1275" s="1945" t="s">
        <v>2536</v>
      </c>
      <c r="E1275" s="1945" t="s">
        <v>2538</v>
      </c>
      <c r="F1275" s="1945" t="s">
        <v>2637</v>
      </c>
      <c r="G1275" s="1946">
        <v>10430</v>
      </c>
      <c r="H1275" s="1946">
        <v>6029999</v>
      </c>
      <c r="I1275" s="2055" t="s">
        <v>2537</v>
      </c>
      <c r="J1275" s="2054">
        <v>20140000</v>
      </c>
    </row>
    <row r="1276" spans="1:10" ht="15">
      <c r="A1276" s="1945" t="s">
        <v>2712</v>
      </c>
      <c r="B1276" s="1945" t="s">
        <v>2539</v>
      </c>
      <c r="C1276" s="1943">
        <v>13</v>
      </c>
      <c r="D1276" s="1945" t="s">
        <v>2540</v>
      </c>
      <c r="E1276" s="1945" t="s">
        <v>2542</v>
      </c>
      <c r="F1276" s="1945" t="s">
        <v>2637</v>
      </c>
      <c r="G1276" s="1946">
        <v>10430</v>
      </c>
      <c r="H1276" s="1946">
        <v>6029999</v>
      </c>
      <c r="I1276" s="2055" t="s">
        <v>2541</v>
      </c>
      <c r="J1276" s="2054">
        <v>84130000</v>
      </c>
    </row>
    <row r="1277" spans="1:10" ht="15">
      <c r="A1277" s="1945" t="s">
        <v>2712</v>
      </c>
      <c r="B1277" s="1945" t="s">
        <v>2701</v>
      </c>
      <c r="C1277" s="1943">
        <v>13</v>
      </c>
      <c r="D1277" s="1945" t="s">
        <v>2543</v>
      </c>
      <c r="E1277" s="1945" t="s">
        <v>2545</v>
      </c>
      <c r="F1277" s="1945" t="s">
        <v>2637</v>
      </c>
      <c r="G1277" s="1946">
        <v>10430</v>
      </c>
      <c r="H1277" s="1946">
        <v>6029999</v>
      </c>
      <c r="I1277" s="2055" t="s">
        <v>2544</v>
      </c>
      <c r="J1277" s="2054">
        <v>82760000</v>
      </c>
    </row>
    <row r="1278" spans="1:10" ht="15">
      <c r="A1278" s="1945" t="s">
        <v>2712</v>
      </c>
      <c r="B1278" s="1945" t="s">
        <v>2546</v>
      </c>
      <c r="C1278" s="1943">
        <v>13</v>
      </c>
      <c r="D1278" s="1945" t="s">
        <v>2547</v>
      </c>
      <c r="E1278" s="1945" t="s">
        <v>2549</v>
      </c>
      <c r="F1278" s="1945" t="s">
        <v>2637</v>
      </c>
      <c r="G1278" s="1946">
        <v>10430</v>
      </c>
      <c r="H1278" s="1946">
        <v>6029999</v>
      </c>
      <c r="I1278" s="2055" t="s">
        <v>2548</v>
      </c>
      <c r="J1278" s="2054">
        <v>34142000</v>
      </c>
    </row>
    <row r="1279" spans="1:10" ht="15">
      <c r="A1279" s="1945" t="s">
        <v>2712</v>
      </c>
      <c r="B1279" s="1945" t="s">
        <v>2550</v>
      </c>
      <c r="C1279" s="1943">
        <v>13</v>
      </c>
      <c r="D1279" s="1945" t="s">
        <v>2551</v>
      </c>
      <c r="E1279" s="1945" t="s">
        <v>2553</v>
      </c>
      <c r="F1279" s="1945" t="s">
        <v>2637</v>
      </c>
      <c r="G1279" s="1946">
        <v>10430</v>
      </c>
      <c r="H1279" s="1946">
        <v>6029999</v>
      </c>
      <c r="I1279" s="2055" t="s">
        <v>2552</v>
      </c>
      <c r="J1279" s="2054">
        <v>31320000</v>
      </c>
    </row>
    <row r="1280" spans="1:10" ht="15">
      <c r="A1280" s="1945" t="s">
        <v>2712</v>
      </c>
      <c r="B1280" s="1945" t="s">
        <v>2554</v>
      </c>
      <c r="C1280" s="1943">
        <v>13</v>
      </c>
      <c r="D1280" s="1945" t="s">
        <v>2555</v>
      </c>
      <c r="E1280" s="1945" t="s">
        <v>2557</v>
      </c>
      <c r="F1280" s="1945" t="s">
        <v>2637</v>
      </c>
      <c r="G1280" s="1946">
        <v>10430</v>
      </c>
      <c r="H1280" s="1946">
        <v>6029999</v>
      </c>
      <c r="I1280" s="2055" t="s">
        <v>2556</v>
      </c>
      <c r="J1280" s="2054">
        <v>53160000</v>
      </c>
    </row>
    <row r="1281" spans="1:10" ht="15">
      <c r="A1281" s="1945" t="s">
        <v>2712</v>
      </c>
      <c r="B1281" s="1945" t="s">
        <v>2558</v>
      </c>
      <c r="C1281" s="1943">
        <v>13</v>
      </c>
      <c r="D1281" s="1945" t="s">
        <v>2559</v>
      </c>
      <c r="E1281" s="1945" t="s">
        <v>2561</v>
      </c>
      <c r="F1281" s="1945" t="s">
        <v>2637</v>
      </c>
      <c r="G1281" s="1946">
        <v>10430</v>
      </c>
      <c r="H1281" s="1946">
        <v>6029999</v>
      </c>
      <c r="I1281" s="2055" t="s">
        <v>2560</v>
      </c>
      <c r="J1281" s="2054">
        <v>24750000</v>
      </c>
    </row>
    <row r="1282" spans="1:10" ht="15">
      <c r="A1282" s="1945" t="s">
        <v>2712</v>
      </c>
      <c r="B1282" s="1945" t="s">
        <v>2562</v>
      </c>
      <c r="C1282" s="1943">
        <v>13</v>
      </c>
      <c r="D1282" s="1945" t="s">
        <v>2563</v>
      </c>
      <c r="E1282" s="1945" t="s">
        <v>2565</v>
      </c>
      <c r="F1282" s="1945" t="s">
        <v>2637</v>
      </c>
      <c r="G1282" s="1946">
        <v>10430</v>
      </c>
      <c r="H1282" s="1946">
        <v>6029999</v>
      </c>
      <c r="I1282" s="2055" t="s">
        <v>2564</v>
      </c>
      <c r="J1282" s="2054">
        <v>42100000</v>
      </c>
    </row>
    <row r="1283" spans="1:10" ht="15">
      <c r="A1283" s="1945" t="s">
        <v>2712</v>
      </c>
      <c r="B1283" s="1945" t="s">
        <v>2566</v>
      </c>
      <c r="C1283" s="1943">
        <v>13</v>
      </c>
      <c r="D1283" s="1945" t="s">
        <v>2567</v>
      </c>
      <c r="E1283" s="1945" t="s">
        <v>2569</v>
      </c>
      <c r="F1283" s="1945" t="s">
        <v>2637</v>
      </c>
      <c r="G1283" s="1946">
        <v>10430</v>
      </c>
      <c r="H1283" s="1946">
        <v>6029999</v>
      </c>
      <c r="I1283" s="2055" t="s">
        <v>2568</v>
      </c>
      <c r="J1283" s="2054">
        <v>25410000</v>
      </c>
    </row>
    <row r="1284" spans="1:10" ht="15">
      <c r="A1284" s="1945" t="s">
        <v>2712</v>
      </c>
      <c r="B1284" s="1945" t="s">
        <v>2570</v>
      </c>
      <c r="C1284" s="1943">
        <v>13</v>
      </c>
      <c r="D1284" s="1945" t="s">
        <v>2571</v>
      </c>
      <c r="E1284" s="1945" t="s">
        <v>2573</v>
      </c>
      <c r="F1284" s="1945" t="s">
        <v>2637</v>
      </c>
      <c r="G1284" s="1946">
        <v>10430</v>
      </c>
      <c r="H1284" s="1946">
        <v>6029999</v>
      </c>
      <c r="I1284" s="2055" t="s">
        <v>2572</v>
      </c>
      <c r="J1284" s="2054">
        <v>81050000</v>
      </c>
    </row>
    <row r="1285" spans="1:10" ht="15">
      <c r="A1285" s="1945" t="s">
        <v>2712</v>
      </c>
      <c r="B1285" s="1945" t="s">
        <v>2574</v>
      </c>
      <c r="C1285" s="1943">
        <v>13</v>
      </c>
      <c r="D1285" s="1945" t="s">
        <v>2575</v>
      </c>
      <c r="E1285" s="1945" t="s">
        <v>2576</v>
      </c>
      <c r="F1285" s="1945" t="s">
        <v>2637</v>
      </c>
      <c r="G1285" s="1946">
        <v>10430</v>
      </c>
      <c r="H1285" s="1946">
        <v>6029999</v>
      </c>
      <c r="I1285" s="2055" t="s">
        <v>2572</v>
      </c>
      <c r="J1285" s="2054">
        <v>24430000</v>
      </c>
    </row>
    <row r="1286" spans="1:10" ht="15">
      <c r="A1286" s="1945" t="s">
        <v>2712</v>
      </c>
      <c r="B1286" s="1945" t="s">
        <v>2577</v>
      </c>
      <c r="C1286" s="1943">
        <v>13</v>
      </c>
      <c r="D1286" s="1945" t="s">
        <v>2578</v>
      </c>
      <c r="E1286" s="1945" t="s">
        <v>2580</v>
      </c>
      <c r="F1286" s="1945" t="s">
        <v>2637</v>
      </c>
      <c r="G1286" s="1946">
        <v>10430</v>
      </c>
      <c r="H1286" s="1946">
        <v>6029999</v>
      </c>
      <c r="I1286" s="2055" t="s">
        <v>2579</v>
      </c>
      <c r="J1286" s="2054">
        <v>11690000</v>
      </c>
    </row>
    <row r="1287" spans="1:10" ht="15">
      <c r="A1287" s="1945" t="s">
        <v>2712</v>
      </c>
      <c r="B1287" s="1945" t="s">
        <v>2581</v>
      </c>
      <c r="C1287" s="1943">
        <v>13</v>
      </c>
      <c r="D1287" s="1945" t="s">
        <v>2582</v>
      </c>
      <c r="E1287" s="1945" t="s">
        <v>2583</v>
      </c>
      <c r="F1287" s="1945" t="s">
        <v>2637</v>
      </c>
      <c r="G1287" s="1946">
        <v>10430</v>
      </c>
      <c r="H1287" s="1946">
        <v>6029999</v>
      </c>
      <c r="I1287" s="2055" t="s">
        <v>2579</v>
      </c>
      <c r="J1287" s="2054">
        <v>10100000</v>
      </c>
    </row>
    <row r="1288" spans="1:10" ht="15">
      <c r="A1288" s="1945" t="s">
        <v>2712</v>
      </c>
      <c r="B1288" s="1945" t="s">
        <v>2584</v>
      </c>
      <c r="C1288" s="1943">
        <v>13</v>
      </c>
      <c r="D1288" s="1945" t="s">
        <v>2585</v>
      </c>
      <c r="E1288" s="1945" t="s">
        <v>2586</v>
      </c>
      <c r="F1288" s="1945" t="s">
        <v>2637</v>
      </c>
      <c r="G1288" s="1946">
        <v>10430</v>
      </c>
      <c r="H1288" s="1946">
        <v>6029999</v>
      </c>
      <c r="I1288" s="2055" t="s">
        <v>2372</v>
      </c>
      <c r="J1288" s="2054">
        <v>213320000</v>
      </c>
    </row>
    <row r="1289" spans="1:10" ht="15">
      <c r="A1289" s="1945" t="s">
        <v>2712</v>
      </c>
      <c r="B1289" s="1945" t="s">
        <v>2587</v>
      </c>
      <c r="C1289" s="1943">
        <v>13</v>
      </c>
      <c r="D1289" s="1945" t="s">
        <v>2588</v>
      </c>
      <c r="E1289" s="1945" t="s">
        <v>2589</v>
      </c>
      <c r="F1289" s="1945" t="s">
        <v>2637</v>
      </c>
      <c r="G1289" s="1946">
        <v>10430</v>
      </c>
      <c r="H1289" s="1946">
        <v>6029999</v>
      </c>
      <c r="I1289" s="2055" t="s">
        <v>2372</v>
      </c>
      <c r="J1289" s="2054">
        <v>37800000</v>
      </c>
    </row>
    <row r="1290" spans="1:10" ht="15">
      <c r="A1290" s="1945" t="s">
        <v>2712</v>
      </c>
      <c r="B1290" s="1945" t="s">
        <v>2590</v>
      </c>
      <c r="C1290" s="1943">
        <v>13</v>
      </c>
      <c r="D1290" s="1945" t="s">
        <v>2591</v>
      </c>
      <c r="E1290" s="1945" t="s">
        <v>2592</v>
      </c>
      <c r="F1290" s="1945" t="s">
        <v>2637</v>
      </c>
      <c r="G1290" s="1946">
        <v>10430</v>
      </c>
      <c r="H1290" s="1946">
        <v>6029999</v>
      </c>
      <c r="I1290" s="2055" t="s">
        <v>2372</v>
      </c>
      <c r="J1290" s="2054">
        <v>11060000</v>
      </c>
    </row>
    <row r="1291" spans="1:10" ht="15">
      <c r="A1291" s="1945" t="s">
        <v>2712</v>
      </c>
      <c r="B1291" s="1945" t="s">
        <v>2593</v>
      </c>
      <c r="C1291" s="1943">
        <v>13</v>
      </c>
      <c r="D1291" s="1945" t="s">
        <v>2594</v>
      </c>
      <c r="E1291" s="1945" t="s">
        <v>2596</v>
      </c>
      <c r="F1291" s="1945" t="s">
        <v>2637</v>
      </c>
      <c r="G1291" s="1946">
        <v>10430</v>
      </c>
      <c r="H1291" s="1946">
        <v>6029999</v>
      </c>
      <c r="I1291" s="2055" t="s">
        <v>2595</v>
      </c>
      <c r="J1291" s="2054">
        <v>22670000</v>
      </c>
    </row>
    <row r="1292" spans="1:10" ht="15">
      <c r="A1292" s="1945" t="s">
        <v>2712</v>
      </c>
      <c r="B1292" s="1945" t="s">
        <v>2597</v>
      </c>
      <c r="C1292" s="1943">
        <v>13</v>
      </c>
      <c r="D1292" s="1945" t="s">
        <v>2598</v>
      </c>
      <c r="E1292" s="1945" t="s">
        <v>2599</v>
      </c>
      <c r="F1292" s="1945" t="s">
        <v>2637</v>
      </c>
      <c r="G1292" s="1946">
        <v>10430</v>
      </c>
      <c r="H1292" s="1946">
        <v>6029999</v>
      </c>
      <c r="I1292" s="2055" t="s">
        <v>2595</v>
      </c>
      <c r="J1292" s="2054">
        <v>12510000</v>
      </c>
    </row>
    <row r="1293" spans="1:10" ht="15">
      <c r="A1293" s="1945" t="s">
        <v>2712</v>
      </c>
      <c r="B1293" s="1945" t="s">
        <v>2600</v>
      </c>
      <c r="C1293" s="1943">
        <v>13</v>
      </c>
      <c r="D1293" s="1945" t="s">
        <v>2601</v>
      </c>
      <c r="E1293" s="1945" t="s">
        <v>2602</v>
      </c>
      <c r="F1293" s="1945" t="s">
        <v>2637</v>
      </c>
      <c r="G1293" s="1946">
        <v>10430</v>
      </c>
      <c r="H1293" s="1946">
        <v>6029999</v>
      </c>
      <c r="I1293" s="2055" t="s">
        <v>2336</v>
      </c>
      <c r="J1293" s="2054">
        <v>53580000</v>
      </c>
    </row>
    <row r="1294" spans="1:10" ht="15">
      <c r="A1294" s="1945" t="s">
        <v>2712</v>
      </c>
      <c r="B1294" s="1945" t="s">
        <v>2603</v>
      </c>
      <c r="C1294" s="1943">
        <v>13</v>
      </c>
      <c r="D1294" s="1945" t="s">
        <v>2604</v>
      </c>
      <c r="E1294" s="1945" t="s">
        <v>2605</v>
      </c>
      <c r="F1294" s="1945" t="s">
        <v>2637</v>
      </c>
      <c r="G1294" s="1946">
        <v>10430</v>
      </c>
      <c r="H1294" s="1946">
        <v>6029999</v>
      </c>
      <c r="I1294" s="2055" t="s">
        <v>2336</v>
      </c>
      <c r="J1294" s="2054">
        <v>14100000</v>
      </c>
    </row>
    <row r="1295" spans="1:10" ht="15">
      <c r="A1295" s="1945" t="s">
        <v>2712</v>
      </c>
      <c r="B1295" s="1945" t="s">
        <v>2606</v>
      </c>
      <c r="C1295" s="1943">
        <v>13</v>
      </c>
      <c r="D1295" s="1945" t="s">
        <v>2607</v>
      </c>
      <c r="E1295" s="1945" t="s">
        <v>2608</v>
      </c>
      <c r="F1295" s="1945" t="s">
        <v>2637</v>
      </c>
      <c r="G1295" s="1946">
        <v>10430</v>
      </c>
      <c r="H1295" s="1946">
        <v>6029999</v>
      </c>
      <c r="I1295" s="2055" t="s">
        <v>2336</v>
      </c>
      <c r="J1295" s="2054">
        <v>4650000</v>
      </c>
    </row>
    <row r="1296" spans="1:10" ht="15">
      <c r="A1296" s="1945" t="s">
        <v>2712</v>
      </c>
      <c r="B1296" s="1945" t="s">
        <v>2609</v>
      </c>
      <c r="C1296" s="1943">
        <v>13</v>
      </c>
      <c r="D1296" s="1945" t="s">
        <v>2610</v>
      </c>
      <c r="E1296" s="1945" t="s">
        <v>2612</v>
      </c>
      <c r="F1296" s="1945" t="s">
        <v>2637</v>
      </c>
      <c r="G1296" s="1946">
        <v>10430</v>
      </c>
      <c r="H1296" s="1946">
        <v>6029999</v>
      </c>
      <c r="I1296" s="2055" t="s">
        <v>2611</v>
      </c>
      <c r="J1296" s="2054">
        <v>17310000</v>
      </c>
    </row>
    <row r="1297" spans="1:10" ht="15">
      <c r="A1297" s="1945" t="s">
        <v>2712</v>
      </c>
      <c r="B1297" s="1945" t="s">
        <v>2613</v>
      </c>
      <c r="C1297" s="1943">
        <v>13</v>
      </c>
      <c r="D1297" s="1945" t="s">
        <v>2614</v>
      </c>
      <c r="E1297" s="1945" t="s">
        <v>2615</v>
      </c>
      <c r="F1297" s="1945" t="s">
        <v>2637</v>
      </c>
      <c r="G1297" s="1946">
        <v>10430</v>
      </c>
      <c r="H1297" s="1946">
        <v>6029999</v>
      </c>
      <c r="I1297" s="2055" t="s">
        <v>2611</v>
      </c>
      <c r="J1297" s="2054">
        <v>4070000</v>
      </c>
    </row>
    <row r="1298" spans="1:10" ht="15">
      <c r="A1298" s="1945" t="s">
        <v>2712</v>
      </c>
      <c r="B1298" s="1944" t="s">
        <v>2616</v>
      </c>
      <c r="C1298" s="1943">
        <v>13</v>
      </c>
      <c r="D1298" s="1944" t="s">
        <v>2617</v>
      </c>
      <c r="E1298" s="1944" t="s">
        <v>2619</v>
      </c>
      <c r="F1298" s="1945" t="s">
        <v>2637</v>
      </c>
      <c r="G1298" s="1946">
        <v>10430</v>
      </c>
      <c r="H1298" s="1946">
        <v>6029999</v>
      </c>
      <c r="I1298" s="2057" t="s">
        <v>2618</v>
      </c>
      <c r="J1298" s="2054">
        <v>7780000</v>
      </c>
    </row>
    <row r="1299" spans="1:10" ht="15.75" thickBot="1">
      <c r="A1299" s="1945" t="s">
        <v>2712</v>
      </c>
      <c r="B1299" s="2006" t="s">
        <v>2620</v>
      </c>
      <c r="C1299" s="2007">
        <v>13</v>
      </c>
      <c r="D1299" s="2006" t="s">
        <v>2621</v>
      </c>
      <c r="E1299" s="2006" t="s">
        <v>2622</v>
      </c>
      <c r="F1299" s="2006" t="s">
        <v>2637</v>
      </c>
      <c r="G1299" s="2008">
        <v>10430</v>
      </c>
      <c r="H1299" s="2008">
        <v>6029999</v>
      </c>
      <c r="I1299" s="2058" t="s">
        <v>2618</v>
      </c>
      <c r="J1299" s="2059">
        <v>6720000</v>
      </c>
    </row>
    <row r="1300" spans="1:10" ht="15.75" thickBot="1">
      <c r="A1300" s="2876" t="s">
        <v>2688</v>
      </c>
      <c r="B1300" s="2877"/>
      <c r="C1300" s="2877"/>
      <c r="D1300" s="2877"/>
      <c r="E1300" s="2877"/>
      <c r="F1300" s="2877"/>
      <c r="G1300" s="2877"/>
      <c r="H1300" s="2877"/>
      <c r="I1300" s="2878"/>
      <c r="J1300" s="2060">
        <f>SUM(J1301)</f>
        <v>2124772000</v>
      </c>
    </row>
    <row r="1301" spans="1:10" ht="15.75" thickBot="1">
      <c r="A1301" s="2061" t="s">
        <v>2712</v>
      </c>
      <c r="B1301" s="1975" t="s">
        <v>2316</v>
      </c>
      <c r="C1301" s="1976">
        <v>13</v>
      </c>
      <c r="D1301" s="1976" t="s">
        <v>2384</v>
      </c>
      <c r="E1301" s="2062" t="s">
        <v>2689</v>
      </c>
      <c r="F1301" s="1976" t="s">
        <v>2637</v>
      </c>
      <c r="G1301" s="1978">
        <v>10430</v>
      </c>
      <c r="H1301" s="1979">
        <v>6029999</v>
      </c>
      <c r="I1301" s="2063">
        <v>3535</v>
      </c>
      <c r="J1301" s="2064">
        <f>J1225+J1226</f>
        <v>2124772000</v>
      </c>
    </row>
  </sheetData>
  <mergeCells count="12">
    <mergeCell ref="A1300:I1300"/>
    <mergeCell ref="A263:G263"/>
    <mergeCell ref="A264:E264"/>
    <mergeCell ref="A265:H265"/>
    <mergeCell ref="C267:D267"/>
    <mergeCell ref="G1021:I1021"/>
    <mergeCell ref="G1023:I1023"/>
    <mergeCell ref="A1101:I1101"/>
    <mergeCell ref="A1224:I1224"/>
    <mergeCell ref="G1231:I1231"/>
    <mergeCell ref="G1233:I1233"/>
    <mergeCell ref="A1238:I12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76"/>
  <sheetViews>
    <sheetView topLeftCell="A1525" workbookViewId="0">
      <selection activeCell="Q1544" sqref="Q1544"/>
    </sheetView>
  </sheetViews>
  <sheetFormatPr defaultRowHeight="12.75"/>
  <cols>
    <col min="1" max="1" width="6.28515625" customWidth="1"/>
    <col min="3" max="3" width="6.140625" customWidth="1"/>
    <col min="5" max="5" width="3" customWidth="1"/>
    <col min="6" max="6" width="7.28515625" customWidth="1"/>
    <col min="7" max="7" width="11.7109375" customWidth="1"/>
    <col min="8" max="8" width="0.5703125" customWidth="1"/>
    <col min="9" max="9" width="18.28515625" customWidth="1"/>
    <col min="10" max="10" width="12.42578125" customWidth="1"/>
    <col min="11" max="11" width="33.140625" customWidth="1"/>
    <col min="12" max="12" width="4.28515625" customWidth="1"/>
    <col min="13" max="13" width="5.28515625" customWidth="1"/>
    <col min="14" max="14" width="7.7109375" customWidth="1"/>
    <col min="15" max="15" width="17.140625" customWidth="1"/>
    <col min="16" max="16" width="11.5703125" customWidth="1"/>
    <col min="17" max="17" width="27.140625" customWidth="1"/>
    <col min="18" max="19" width="15.28515625" customWidth="1"/>
    <col min="20" max="20" width="13.42578125" customWidth="1"/>
    <col min="21" max="21" width="14.28515625" customWidth="1"/>
    <col min="22" max="22" width="14.42578125" customWidth="1"/>
    <col min="23" max="28" width="16.85546875" customWidth="1"/>
  </cols>
  <sheetData>
    <row r="2" spans="1:15" ht="236.25">
      <c r="A2" s="2065" t="s">
        <v>2713</v>
      </c>
      <c r="B2" s="2065" t="s">
        <v>2714</v>
      </c>
      <c r="C2" s="2065" t="s">
        <v>2715</v>
      </c>
      <c r="D2" s="2065" t="s">
        <v>2716</v>
      </c>
      <c r="E2" s="2065" t="s">
        <v>2717</v>
      </c>
      <c r="F2" s="2065" t="s">
        <v>2718</v>
      </c>
      <c r="G2" s="2065" t="s">
        <v>2719</v>
      </c>
      <c r="H2" s="2065" t="s">
        <v>2720</v>
      </c>
      <c r="I2" s="2065" t="s">
        <v>2721</v>
      </c>
      <c r="J2" s="2065" t="s">
        <v>2722</v>
      </c>
      <c r="K2" s="2065" t="s">
        <v>2723</v>
      </c>
      <c r="L2" s="2065" t="s">
        <v>2724</v>
      </c>
      <c r="M2" s="2065" t="s">
        <v>2725</v>
      </c>
    </row>
    <row r="3" spans="1:15" ht="15">
      <c r="A3" s="2066">
        <f>SUM(A4:A64)</f>
        <v>223276365</v>
      </c>
      <c r="B3" s="2066">
        <f t="shared" ref="B3:M3" si="0">SUM(B4:B64)</f>
        <v>543410167</v>
      </c>
      <c r="C3" s="2066">
        <f t="shared" si="0"/>
        <v>905109902</v>
      </c>
      <c r="D3" s="2066">
        <f t="shared" si="0"/>
        <v>1728575509</v>
      </c>
      <c r="E3" s="2066">
        <f t="shared" si="0"/>
        <v>2293431549</v>
      </c>
      <c r="F3" s="2066">
        <f t="shared" si="0"/>
        <v>2693510407</v>
      </c>
      <c r="G3" s="2066">
        <f t="shared" si="0"/>
        <v>3340328754</v>
      </c>
      <c r="H3" s="2066">
        <f t="shared" si="0"/>
        <v>3712935811</v>
      </c>
      <c r="I3" s="2066">
        <f t="shared" si="0"/>
        <v>4036923184</v>
      </c>
      <c r="J3" s="2066">
        <f t="shared" si="0"/>
        <v>4606913157</v>
      </c>
      <c r="K3" s="2066">
        <f t="shared" si="0"/>
        <v>4746732201</v>
      </c>
      <c r="L3" s="2066">
        <f t="shared" si="0"/>
        <v>5434290505</v>
      </c>
      <c r="M3" s="2066">
        <f t="shared" si="0"/>
        <v>5434290505</v>
      </c>
      <c r="O3">
        <v>5434290505</v>
      </c>
    </row>
    <row r="4" spans="1:15" ht="16.5">
      <c r="A4" s="2067">
        <v>213668</v>
      </c>
      <c r="B4" s="2067">
        <v>2932264</v>
      </c>
      <c r="C4" s="2067">
        <v>8271316</v>
      </c>
      <c r="D4" s="2067">
        <v>10561576</v>
      </c>
      <c r="E4" s="2067">
        <v>19432804</v>
      </c>
      <c r="F4" s="2067">
        <v>23446468</v>
      </c>
      <c r="G4" s="2067">
        <v>29662408</v>
      </c>
      <c r="H4" s="2067">
        <v>33514148</v>
      </c>
      <c r="I4" s="2068">
        <v>36747384</v>
      </c>
      <c r="J4" s="2068">
        <v>40412484</v>
      </c>
      <c r="K4" s="2069">
        <v>43465891</v>
      </c>
      <c r="L4" s="2068">
        <v>49822417</v>
      </c>
      <c r="M4" s="2070">
        <f>L4</f>
        <v>49822417</v>
      </c>
    </row>
    <row r="5" spans="1:15" ht="16.5">
      <c r="A5" s="2067">
        <v>1410740</v>
      </c>
      <c r="B5" s="2067">
        <v>2467280</v>
      </c>
      <c r="C5" s="2067">
        <v>3601084</v>
      </c>
      <c r="D5" s="2067">
        <v>6055088</v>
      </c>
      <c r="E5" s="2067">
        <v>8711293</v>
      </c>
      <c r="F5" s="2067">
        <v>11052593</v>
      </c>
      <c r="G5" s="2067">
        <v>12226449</v>
      </c>
      <c r="H5" s="2067">
        <v>12255429</v>
      </c>
      <c r="I5" s="2068">
        <v>14118545</v>
      </c>
      <c r="J5" s="2068">
        <v>15437613</v>
      </c>
      <c r="K5" s="2069">
        <v>16644141</v>
      </c>
      <c r="L5" s="2068">
        <v>18475784</v>
      </c>
      <c r="M5" s="2070">
        <f t="shared" ref="M5:M64" si="1">L5</f>
        <v>18475784</v>
      </c>
    </row>
    <row r="6" spans="1:15" ht="16.5">
      <c r="A6" s="2067">
        <v>610524</v>
      </c>
      <c r="B6" s="2067">
        <v>1726132</v>
      </c>
      <c r="C6" s="2067">
        <v>2749260</v>
      </c>
      <c r="D6" s="2067">
        <v>4767084</v>
      </c>
      <c r="E6" s="2067">
        <v>8692528</v>
      </c>
      <c r="F6" s="2067">
        <v>9872324</v>
      </c>
      <c r="G6" s="2067">
        <v>11966720</v>
      </c>
      <c r="H6" s="2067">
        <v>13159436</v>
      </c>
      <c r="I6" s="2068">
        <v>14396640</v>
      </c>
      <c r="J6" s="2068">
        <v>15843060</v>
      </c>
      <c r="K6" s="2069">
        <v>16938528</v>
      </c>
      <c r="L6" s="2068">
        <v>18124380</v>
      </c>
      <c r="M6" s="2070">
        <f t="shared" si="1"/>
        <v>18124380</v>
      </c>
    </row>
    <row r="7" spans="1:15" ht="16.5">
      <c r="A7" s="2067">
        <v>4965752</v>
      </c>
      <c r="B7" s="2067">
        <v>5594168</v>
      </c>
      <c r="C7" s="2067">
        <v>5594168</v>
      </c>
      <c r="D7" s="2067">
        <v>14842708</v>
      </c>
      <c r="E7" s="2067">
        <v>17624988</v>
      </c>
      <c r="F7" s="2067">
        <v>17624988</v>
      </c>
      <c r="G7" s="2067">
        <v>25482332</v>
      </c>
      <c r="H7" s="2067">
        <v>31004320</v>
      </c>
      <c r="I7" s="2068">
        <v>33447668</v>
      </c>
      <c r="J7" s="2068">
        <v>33447668</v>
      </c>
      <c r="K7" s="2069">
        <v>39402200</v>
      </c>
      <c r="L7" s="2068">
        <v>44607560</v>
      </c>
      <c r="M7" s="2070">
        <f t="shared" si="1"/>
        <v>44607560</v>
      </c>
    </row>
    <row r="8" spans="1:15" ht="16.5">
      <c r="A8" s="2067">
        <v>165960</v>
      </c>
      <c r="B8" s="2067">
        <v>1292232</v>
      </c>
      <c r="C8" s="2067">
        <v>2474896</v>
      </c>
      <c r="D8" s="2067">
        <v>4724504</v>
      </c>
      <c r="E8" s="2067">
        <v>7517576</v>
      </c>
      <c r="F8" s="2067">
        <v>8872696</v>
      </c>
      <c r="G8" s="2067">
        <v>11220272</v>
      </c>
      <c r="H8" s="2067">
        <v>12453060</v>
      </c>
      <c r="I8" s="2068">
        <v>13666552</v>
      </c>
      <c r="J8" s="2068">
        <v>15071520</v>
      </c>
      <c r="K8" s="2069">
        <v>16310716</v>
      </c>
      <c r="L8" s="2068">
        <v>18877332</v>
      </c>
      <c r="M8" s="2070">
        <f t="shared" si="1"/>
        <v>18877332</v>
      </c>
    </row>
    <row r="9" spans="1:15" ht="16.5">
      <c r="A9" s="2067">
        <v>56067981</v>
      </c>
      <c r="B9" s="2067">
        <v>73564755</v>
      </c>
      <c r="C9" s="2067">
        <v>91428835</v>
      </c>
      <c r="D9" s="2067">
        <v>192316927</v>
      </c>
      <c r="E9" s="2067">
        <v>225355641</v>
      </c>
      <c r="F9" s="2067">
        <v>261860151</v>
      </c>
      <c r="G9" s="2067">
        <v>327643128</v>
      </c>
      <c r="H9" s="2067">
        <v>396037455</v>
      </c>
      <c r="I9" s="2068">
        <v>397282103</v>
      </c>
      <c r="J9" s="2068">
        <v>462444871</v>
      </c>
      <c r="K9" s="2069">
        <v>463787663</v>
      </c>
      <c r="L9" s="2068">
        <v>531987648</v>
      </c>
      <c r="M9" s="2070">
        <f t="shared" si="1"/>
        <v>531987648</v>
      </c>
    </row>
    <row r="10" spans="1:15" ht="16.5">
      <c r="A10" s="2067">
        <v>1802028</v>
      </c>
      <c r="B10" s="2067">
        <v>12488039</v>
      </c>
      <c r="C10" s="2067">
        <v>22930790</v>
      </c>
      <c r="D10" s="2067">
        <v>42328834</v>
      </c>
      <c r="E10" s="2067">
        <v>63310366</v>
      </c>
      <c r="F10" s="2067">
        <v>75404192</v>
      </c>
      <c r="G10" s="2067">
        <v>95609336</v>
      </c>
      <c r="H10" s="2067">
        <v>107121925</v>
      </c>
      <c r="I10" s="2068">
        <v>118431678</v>
      </c>
      <c r="J10" s="2068">
        <v>140029732</v>
      </c>
      <c r="K10" s="2069">
        <v>140540632</v>
      </c>
      <c r="L10" s="2068">
        <v>163605774</v>
      </c>
      <c r="M10" s="2070">
        <f t="shared" si="1"/>
        <v>163605774</v>
      </c>
    </row>
    <row r="11" spans="1:15" ht="16.5">
      <c r="A11" s="2067">
        <v>3434571</v>
      </c>
      <c r="B11" s="2067">
        <v>14068379</v>
      </c>
      <c r="C11" s="2067">
        <v>24996097</v>
      </c>
      <c r="D11" s="2067">
        <v>44271161</v>
      </c>
      <c r="E11" s="2067">
        <v>65068945</v>
      </c>
      <c r="F11" s="2067">
        <v>76917771</v>
      </c>
      <c r="G11" s="2067">
        <v>95933683</v>
      </c>
      <c r="H11" s="2067">
        <v>106434960</v>
      </c>
      <c r="I11" s="2068">
        <v>116666913</v>
      </c>
      <c r="J11" s="2068">
        <v>127580127</v>
      </c>
      <c r="K11" s="2069">
        <v>137329013</v>
      </c>
      <c r="L11" s="2068">
        <v>158260741</v>
      </c>
      <c r="M11" s="2070">
        <f t="shared" si="1"/>
        <v>158260741</v>
      </c>
    </row>
    <row r="12" spans="1:15" ht="16.5">
      <c r="A12" s="2067">
        <v>5635879</v>
      </c>
      <c r="B12" s="2067">
        <v>14532772</v>
      </c>
      <c r="C12" s="2067">
        <v>23248721</v>
      </c>
      <c r="D12" s="2067">
        <v>48794387</v>
      </c>
      <c r="E12" s="2067">
        <v>57267229</v>
      </c>
      <c r="F12" s="2067">
        <v>66453239</v>
      </c>
      <c r="G12" s="2067">
        <v>83058970</v>
      </c>
      <c r="H12" s="2067">
        <v>91652000</v>
      </c>
      <c r="I12" s="2068">
        <v>100244289</v>
      </c>
      <c r="J12" s="2068">
        <v>116674096</v>
      </c>
      <c r="K12" s="2069">
        <v>116832440</v>
      </c>
      <c r="L12" s="2068">
        <v>133558713</v>
      </c>
      <c r="M12" s="2070">
        <f t="shared" si="1"/>
        <v>133558713</v>
      </c>
    </row>
    <row r="13" spans="1:15" ht="16.5">
      <c r="A13" s="2067">
        <v>1761604</v>
      </c>
      <c r="B13" s="2067">
        <v>1767904</v>
      </c>
      <c r="C13" s="2067">
        <v>2800624</v>
      </c>
      <c r="D13" s="2067">
        <v>4403620</v>
      </c>
      <c r="E13" s="2067">
        <v>7794226</v>
      </c>
      <c r="F13" s="2067">
        <v>8990542</v>
      </c>
      <c r="G13" s="2067">
        <v>11151278</v>
      </c>
      <c r="H13" s="2067">
        <v>12208062</v>
      </c>
      <c r="I13" s="2068">
        <v>13191682</v>
      </c>
      <c r="J13" s="2068">
        <v>15583662</v>
      </c>
      <c r="K13" s="2069">
        <v>15583662</v>
      </c>
      <c r="L13" s="2068">
        <v>17431046</v>
      </c>
      <c r="M13" s="2070">
        <f t="shared" si="1"/>
        <v>17431046</v>
      </c>
    </row>
    <row r="14" spans="1:15" ht="16.5">
      <c r="A14" s="2067">
        <v>372508</v>
      </c>
      <c r="B14" s="2067">
        <v>757556</v>
      </c>
      <c r="C14" s="2067">
        <v>1154704</v>
      </c>
      <c r="D14" s="2067">
        <v>2301872</v>
      </c>
      <c r="E14" s="2067">
        <v>2477872</v>
      </c>
      <c r="F14" s="2067">
        <v>3379332</v>
      </c>
      <c r="G14" s="2067">
        <v>4152512</v>
      </c>
      <c r="H14" s="2067">
        <v>4553192</v>
      </c>
      <c r="I14" s="2068">
        <v>5024452</v>
      </c>
      <c r="J14" s="2068">
        <v>5430232</v>
      </c>
      <c r="K14" s="2069">
        <v>5430232</v>
      </c>
      <c r="L14" s="2068">
        <v>6238412</v>
      </c>
      <c r="M14" s="2070">
        <f t="shared" si="1"/>
        <v>6238412</v>
      </c>
    </row>
    <row r="15" spans="1:15" ht="16.5">
      <c r="A15" s="2067">
        <v>0</v>
      </c>
      <c r="B15" s="2067">
        <v>2537637</v>
      </c>
      <c r="C15" s="2067">
        <v>7497239</v>
      </c>
      <c r="D15" s="2067">
        <v>12858393</v>
      </c>
      <c r="E15" s="2067">
        <v>16644410</v>
      </c>
      <c r="F15" s="2067">
        <v>19652927</v>
      </c>
      <c r="G15" s="2067">
        <v>25158077</v>
      </c>
      <c r="H15" s="2067">
        <v>28313778</v>
      </c>
      <c r="I15" s="2068">
        <v>31420627</v>
      </c>
      <c r="J15" s="2068">
        <v>34783260</v>
      </c>
      <c r="K15" s="2069">
        <v>37852073</v>
      </c>
      <c r="L15" s="2068">
        <v>43741009</v>
      </c>
      <c r="M15" s="2070">
        <f t="shared" si="1"/>
        <v>43741009</v>
      </c>
    </row>
    <row r="16" spans="1:15" ht="16.5">
      <c r="A16" s="2067">
        <v>39334043</v>
      </c>
      <c r="B16" s="2067">
        <v>69276097</v>
      </c>
      <c r="C16" s="2067">
        <v>92031551</v>
      </c>
      <c r="D16" s="2067">
        <v>153670643</v>
      </c>
      <c r="E16" s="2067">
        <v>212453083</v>
      </c>
      <c r="F16" s="2067">
        <v>244690081</v>
      </c>
      <c r="G16" s="2067">
        <v>301598415</v>
      </c>
      <c r="H16" s="2067">
        <v>330534745</v>
      </c>
      <c r="I16" s="2068">
        <v>359772771</v>
      </c>
      <c r="J16" s="2068">
        <v>418798684</v>
      </c>
      <c r="K16" s="2069">
        <v>418792624</v>
      </c>
      <c r="L16" s="2068">
        <v>477381920</v>
      </c>
      <c r="M16" s="2070">
        <f t="shared" si="1"/>
        <v>477381920</v>
      </c>
    </row>
    <row r="17" spans="1:13" ht="16.5">
      <c r="A17" s="2067">
        <v>70740</v>
      </c>
      <c r="B17" s="2067">
        <v>3408752</v>
      </c>
      <c r="C17" s="2067">
        <v>6704824</v>
      </c>
      <c r="D17" s="2067">
        <v>12952856</v>
      </c>
      <c r="E17" s="2067">
        <v>19634072</v>
      </c>
      <c r="F17" s="2067">
        <v>26159260</v>
      </c>
      <c r="G17" s="2067">
        <v>29775284</v>
      </c>
      <c r="H17" s="2067">
        <v>33254040</v>
      </c>
      <c r="I17" s="2068">
        <v>36763460</v>
      </c>
      <c r="J17" s="2068">
        <v>40552464</v>
      </c>
      <c r="K17" s="2069">
        <v>44081480</v>
      </c>
      <c r="L17" s="2068">
        <v>51261524</v>
      </c>
      <c r="M17" s="2070">
        <f t="shared" si="1"/>
        <v>51261524</v>
      </c>
    </row>
    <row r="18" spans="1:13" ht="16.5">
      <c r="A18" s="2067">
        <v>4082060</v>
      </c>
      <c r="B18" s="2067">
        <v>7735400</v>
      </c>
      <c r="C18" s="2067">
        <v>11052952</v>
      </c>
      <c r="D18" s="2067">
        <v>17316700</v>
      </c>
      <c r="E18" s="2067">
        <v>23752664</v>
      </c>
      <c r="F18" s="2067">
        <v>27400624</v>
      </c>
      <c r="G18" s="2067">
        <v>34066204</v>
      </c>
      <c r="H18" s="2067">
        <v>37729780</v>
      </c>
      <c r="I18" s="2068">
        <v>41464124</v>
      </c>
      <c r="J18" s="2068">
        <v>45355388</v>
      </c>
      <c r="K18" s="2069">
        <v>49199300</v>
      </c>
      <c r="L18" s="2068">
        <v>57198116</v>
      </c>
      <c r="M18" s="2070">
        <f t="shared" si="1"/>
        <v>57198116</v>
      </c>
    </row>
    <row r="19" spans="1:13" ht="16.5">
      <c r="A19" s="2067">
        <v>0</v>
      </c>
      <c r="B19" s="2067">
        <v>8773485</v>
      </c>
      <c r="C19" s="2067">
        <v>17430462</v>
      </c>
      <c r="D19" s="2067">
        <v>33116952</v>
      </c>
      <c r="E19" s="2067">
        <v>49770782</v>
      </c>
      <c r="F19" s="2067">
        <v>59057603</v>
      </c>
      <c r="G19" s="2067">
        <v>75746601</v>
      </c>
      <c r="H19" s="2067">
        <v>84357094</v>
      </c>
      <c r="I19" s="2068">
        <v>92944375</v>
      </c>
      <c r="J19" s="2068">
        <v>110779706</v>
      </c>
      <c r="K19" s="2069">
        <v>110779706</v>
      </c>
      <c r="L19" s="2068">
        <v>128397688</v>
      </c>
      <c r="M19" s="2070">
        <f t="shared" si="1"/>
        <v>128397688</v>
      </c>
    </row>
    <row r="20" spans="1:13" ht="16.5">
      <c r="A20" s="2067">
        <v>12836481</v>
      </c>
      <c r="B20" s="2067">
        <v>25689222</v>
      </c>
      <c r="C20" s="2067">
        <v>38130983</v>
      </c>
      <c r="D20" s="2067">
        <v>61048099</v>
      </c>
      <c r="E20" s="2067">
        <v>85339043</v>
      </c>
      <c r="F20" s="2067">
        <v>108955008</v>
      </c>
      <c r="G20" s="2067">
        <v>122183867</v>
      </c>
      <c r="H20" s="2067">
        <v>134220126</v>
      </c>
      <c r="I20" s="2068">
        <v>146138044</v>
      </c>
      <c r="J20" s="2068">
        <v>158275611</v>
      </c>
      <c r="K20" s="2069">
        <v>170046782</v>
      </c>
      <c r="L20" s="2068">
        <v>193243772</v>
      </c>
      <c r="M20" s="2070">
        <f t="shared" si="1"/>
        <v>193243772</v>
      </c>
    </row>
    <row r="21" spans="1:13" ht="16.5">
      <c r="A21" s="2067">
        <v>16861102</v>
      </c>
      <c r="B21" s="2067">
        <v>33655484</v>
      </c>
      <c r="C21" s="2067">
        <v>50128754</v>
      </c>
      <c r="D21" s="2067">
        <v>79981776</v>
      </c>
      <c r="E21" s="2067">
        <v>110800530</v>
      </c>
      <c r="F21" s="2067">
        <v>127886784</v>
      </c>
      <c r="G21" s="2067">
        <v>158354691</v>
      </c>
      <c r="H21" s="2067">
        <v>173637377</v>
      </c>
      <c r="I21" s="2068">
        <v>189175991</v>
      </c>
      <c r="J21" s="2068">
        <v>205243945</v>
      </c>
      <c r="K21" s="2069">
        <v>221408467</v>
      </c>
      <c r="L21" s="2068">
        <v>253463630</v>
      </c>
      <c r="M21" s="2070">
        <f t="shared" si="1"/>
        <v>253463630</v>
      </c>
    </row>
    <row r="22" spans="1:13" ht="16.5">
      <c r="A22" s="2067">
        <v>14965128</v>
      </c>
      <c r="B22" s="2067">
        <v>29950924</v>
      </c>
      <c r="C22" s="2067">
        <v>44853228</v>
      </c>
      <c r="D22" s="2067">
        <v>86532656</v>
      </c>
      <c r="E22" s="2067">
        <v>99236956</v>
      </c>
      <c r="F22" s="2067">
        <v>114884428</v>
      </c>
      <c r="G22" s="2067">
        <v>142343692</v>
      </c>
      <c r="H22" s="2067">
        <v>156938264</v>
      </c>
      <c r="I22" s="2068">
        <v>171722840</v>
      </c>
      <c r="J22" s="2068">
        <v>202130372</v>
      </c>
      <c r="K22" s="2069">
        <v>202130372</v>
      </c>
      <c r="L22" s="2068">
        <v>232598144</v>
      </c>
      <c r="M22" s="2070">
        <f t="shared" si="1"/>
        <v>232598144</v>
      </c>
    </row>
    <row r="23" spans="1:13" ht="16.5">
      <c r="A23" s="2067">
        <v>823320</v>
      </c>
      <c r="B23" s="2067">
        <v>3942665</v>
      </c>
      <c r="C23" s="2067">
        <v>7167894</v>
      </c>
      <c r="D23" s="2067">
        <v>13427008</v>
      </c>
      <c r="E23" s="2067">
        <v>21521460</v>
      </c>
      <c r="F23" s="2067">
        <v>28223544</v>
      </c>
      <c r="G23" s="2067">
        <v>31264033</v>
      </c>
      <c r="H23" s="2067">
        <v>34590939</v>
      </c>
      <c r="I23" s="2068">
        <v>37998213</v>
      </c>
      <c r="J23" s="2068">
        <v>42090099</v>
      </c>
      <c r="K23" s="2069">
        <v>45518730</v>
      </c>
      <c r="L23" s="2068">
        <v>52572568</v>
      </c>
      <c r="M23" s="2070">
        <f t="shared" si="1"/>
        <v>52572568</v>
      </c>
    </row>
    <row r="24" spans="1:13" ht="16.5">
      <c r="A24" s="2067">
        <v>0</v>
      </c>
      <c r="B24" s="2067">
        <v>1098556</v>
      </c>
      <c r="C24" s="2067">
        <v>2079372</v>
      </c>
      <c r="D24" s="2067">
        <v>4184356</v>
      </c>
      <c r="E24" s="2067">
        <v>6191000</v>
      </c>
      <c r="F24" s="2067">
        <v>8316056</v>
      </c>
      <c r="G24" s="2067">
        <v>10489848</v>
      </c>
      <c r="H24" s="2067">
        <v>11651248</v>
      </c>
      <c r="I24" s="2068">
        <v>12898352</v>
      </c>
      <c r="J24" s="2068">
        <v>14142700</v>
      </c>
      <c r="K24" s="2069">
        <v>15223348</v>
      </c>
      <c r="L24" s="2068">
        <v>17469276</v>
      </c>
      <c r="M24" s="2070">
        <f t="shared" si="1"/>
        <v>17469276</v>
      </c>
    </row>
    <row r="25" spans="1:13" ht="16.5">
      <c r="A25" s="2067">
        <v>1323224</v>
      </c>
      <c r="B25" s="2067">
        <v>2670588</v>
      </c>
      <c r="C25" s="2067">
        <v>4056092</v>
      </c>
      <c r="D25" s="2067">
        <v>6721484</v>
      </c>
      <c r="E25" s="2067">
        <v>8203876</v>
      </c>
      <c r="F25" s="2067">
        <v>11347144</v>
      </c>
      <c r="G25" s="2067">
        <v>14292568</v>
      </c>
      <c r="H25" s="2067">
        <v>15854840</v>
      </c>
      <c r="I25" s="2068">
        <v>17399324</v>
      </c>
      <c r="J25" s="2068">
        <v>20679280</v>
      </c>
      <c r="K25" s="2069">
        <v>20679280</v>
      </c>
      <c r="L25" s="2068">
        <v>23572860</v>
      </c>
      <c r="M25" s="2070">
        <f t="shared" si="1"/>
        <v>23572860</v>
      </c>
    </row>
    <row r="26" spans="1:13" ht="16.5">
      <c r="A26" s="2067">
        <v>1826341</v>
      </c>
      <c r="B26" s="2067">
        <v>3695162</v>
      </c>
      <c r="C26" s="2067">
        <v>5679591</v>
      </c>
      <c r="D26" s="2067">
        <v>9664421</v>
      </c>
      <c r="E26" s="2067">
        <v>16690703</v>
      </c>
      <c r="F26" s="2067">
        <v>19269380</v>
      </c>
      <c r="G26" s="2067">
        <v>23699282</v>
      </c>
      <c r="H26" s="2067">
        <v>26084355</v>
      </c>
      <c r="I26" s="2068">
        <v>28389628</v>
      </c>
      <c r="J26" s="2068">
        <v>30966995</v>
      </c>
      <c r="K26" s="2069">
        <v>33301410</v>
      </c>
      <c r="L26" s="2068">
        <v>37956464</v>
      </c>
      <c r="M26" s="2070">
        <f t="shared" si="1"/>
        <v>37956464</v>
      </c>
    </row>
    <row r="27" spans="1:13" ht="16.5">
      <c r="A27" s="2067">
        <v>1595867</v>
      </c>
      <c r="B27" s="2067">
        <v>1871203</v>
      </c>
      <c r="C27" s="2067">
        <v>2859696</v>
      </c>
      <c r="D27" s="2067">
        <v>6350005</v>
      </c>
      <c r="E27" s="2067">
        <v>7587926</v>
      </c>
      <c r="F27" s="2067">
        <v>10432310</v>
      </c>
      <c r="G27" s="2067">
        <v>12891481</v>
      </c>
      <c r="H27" s="2067">
        <v>13491061</v>
      </c>
      <c r="I27" s="2068">
        <v>15521056</v>
      </c>
      <c r="J27" s="2068">
        <v>16892984</v>
      </c>
      <c r="K27" s="2069">
        <v>18175528</v>
      </c>
      <c r="L27" s="2068">
        <v>20701816</v>
      </c>
      <c r="M27" s="2070">
        <f t="shared" si="1"/>
        <v>20701816</v>
      </c>
    </row>
    <row r="28" spans="1:13" ht="16.5">
      <c r="A28" s="2067">
        <v>0</v>
      </c>
      <c r="B28" s="2067">
        <v>3123716</v>
      </c>
      <c r="C28" s="2067">
        <v>9091844</v>
      </c>
      <c r="D28" s="2067">
        <v>15332884</v>
      </c>
      <c r="E28" s="2067">
        <v>16331264</v>
      </c>
      <c r="F28" s="2067">
        <v>22700832</v>
      </c>
      <c r="G28" s="2067">
        <v>29526084</v>
      </c>
      <c r="H28" s="2067">
        <v>32780064</v>
      </c>
      <c r="I28" s="2068">
        <v>36309520</v>
      </c>
      <c r="J28" s="2068">
        <v>43445576</v>
      </c>
      <c r="K28" s="2069">
        <v>43445576</v>
      </c>
      <c r="L28" s="2068">
        <v>50521068</v>
      </c>
      <c r="M28" s="2070">
        <f t="shared" si="1"/>
        <v>50521068</v>
      </c>
    </row>
    <row r="29" spans="1:13" ht="16.5">
      <c r="A29" s="2067">
        <v>115000</v>
      </c>
      <c r="B29" s="2067">
        <v>472692</v>
      </c>
      <c r="C29" s="2067">
        <v>1193644</v>
      </c>
      <c r="D29" s="2067">
        <v>1544864</v>
      </c>
      <c r="E29" s="2067">
        <v>4202200</v>
      </c>
      <c r="F29" s="2067">
        <v>4581780</v>
      </c>
      <c r="G29" s="2067">
        <v>5853698</v>
      </c>
      <c r="H29" s="2067">
        <v>5885898</v>
      </c>
      <c r="I29" s="2068">
        <v>5915938</v>
      </c>
      <c r="J29" s="2068">
        <v>7064511</v>
      </c>
      <c r="K29" s="2069">
        <v>8339089</v>
      </c>
      <c r="L29" s="2068">
        <v>9375901</v>
      </c>
      <c r="M29" s="2070">
        <f t="shared" si="1"/>
        <v>9375901</v>
      </c>
    </row>
    <row r="30" spans="1:13" ht="16.5">
      <c r="A30" s="2067">
        <v>62664</v>
      </c>
      <c r="B30" s="2067">
        <v>126888</v>
      </c>
      <c r="C30" s="2067">
        <v>129588</v>
      </c>
      <c r="D30" s="2067">
        <v>318696</v>
      </c>
      <c r="E30" s="2067">
        <v>704888</v>
      </c>
      <c r="F30" s="2067">
        <v>827648</v>
      </c>
      <c r="G30" s="2067">
        <v>946620</v>
      </c>
      <c r="H30" s="2067">
        <v>1011832</v>
      </c>
      <c r="I30" s="2068">
        <v>1071464</v>
      </c>
      <c r="J30" s="2068">
        <v>1071464</v>
      </c>
      <c r="K30" s="2069">
        <v>1131096</v>
      </c>
      <c r="L30" s="2068">
        <v>1194940</v>
      </c>
      <c r="M30" s="2070">
        <f t="shared" si="1"/>
        <v>1194940</v>
      </c>
    </row>
    <row r="31" spans="1:13" ht="16.5">
      <c r="A31" s="2067">
        <v>249564</v>
      </c>
      <c r="B31" s="2067">
        <v>1363592</v>
      </c>
      <c r="C31" s="2067">
        <v>2542092</v>
      </c>
      <c r="D31" s="2067">
        <v>4913998</v>
      </c>
      <c r="E31" s="2067">
        <v>8171682</v>
      </c>
      <c r="F31" s="2067">
        <v>10559498</v>
      </c>
      <c r="G31" s="2067">
        <v>12983570</v>
      </c>
      <c r="H31" s="2067">
        <v>13488158</v>
      </c>
      <c r="I31" s="2068">
        <v>17575789</v>
      </c>
      <c r="J31" s="2068">
        <v>17955781</v>
      </c>
      <c r="K31" s="2069">
        <v>17955781</v>
      </c>
      <c r="L31" s="2068">
        <v>20053039</v>
      </c>
      <c r="M31" s="2070">
        <f t="shared" si="1"/>
        <v>20053039</v>
      </c>
    </row>
    <row r="32" spans="1:13" ht="16.5">
      <c r="A32" s="2067">
        <v>2682348</v>
      </c>
      <c r="B32" s="2067">
        <v>3599348</v>
      </c>
      <c r="C32" s="2067">
        <v>5429000</v>
      </c>
      <c r="D32" s="2067">
        <v>8750472</v>
      </c>
      <c r="E32" s="2067">
        <v>13309872</v>
      </c>
      <c r="F32" s="2067">
        <v>15949200</v>
      </c>
      <c r="G32" s="2067">
        <v>18762428</v>
      </c>
      <c r="H32" s="2067">
        <v>20649264</v>
      </c>
      <c r="I32" s="2068">
        <v>22511772</v>
      </c>
      <c r="J32" s="2068">
        <v>26229908</v>
      </c>
      <c r="K32" s="2069">
        <v>26229908</v>
      </c>
      <c r="L32" s="2068">
        <v>29966204</v>
      </c>
      <c r="M32" s="2070">
        <f t="shared" si="1"/>
        <v>29966204</v>
      </c>
    </row>
    <row r="33" spans="1:13" ht="16.5">
      <c r="A33" s="2067">
        <v>64980</v>
      </c>
      <c r="B33" s="2067">
        <v>471748</v>
      </c>
      <c r="C33" s="2067">
        <v>848336</v>
      </c>
      <c r="D33" s="2067">
        <v>2085608</v>
      </c>
      <c r="E33" s="2067">
        <v>3738532</v>
      </c>
      <c r="F33" s="2067">
        <v>4161908</v>
      </c>
      <c r="G33" s="2067">
        <v>4994824</v>
      </c>
      <c r="H33" s="2067">
        <v>5082212</v>
      </c>
      <c r="I33" s="2068">
        <v>5525748</v>
      </c>
      <c r="J33" s="2068">
        <v>6393720</v>
      </c>
      <c r="K33" s="2069">
        <v>6418488</v>
      </c>
      <c r="L33" s="2068">
        <v>7308504</v>
      </c>
      <c r="M33" s="2070">
        <f t="shared" si="1"/>
        <v>7308504</v>
      </c>
    </row>
    <row r="34" spans="1:13" ht="16.5">
      <c r="A34" s="2067">
        <v>713808</v>
      </c>
      <c r="B34" s="2067">
        <v>1604708</v>
      </c>
      <c r="C34" s="2067">
        <v>2476856</v>
      </c>
      <c r="D34" s="2067">
        <v>6151012</v>
      </c>
      <c r="E34" s="2067">
        <v>6519012</v>
      </c>
      <c r="F34" s="2067">
        <v>8349252</v>
      </c>
      <c r="G34" s="2067">
        <v>10302032</v>
      </c>
      <c r="H34" s="2067">
        <v>10755900</v>
      </c>
      <c r="I34" s="2068">
        <v>11835508</v>
      </c>
      <c r="J34" s="2068">
        <v>14019772</v>
      </c>
      <c r="K34" s="2069">
        <v>14143668</v>
      </c>
      <c r="L34" s="2068">
        <v>16388332</v>
      </c>
      <c r="M34" s="2070">
        <f t="shared" si="1"/>
        <v>16388332</v>
      </c>
    </row>
    <row r="35" spans="1:13" ht="16.5">
      <c r="A35" s="2067">
        <v>0</v>
      </c>
      <c r="B35" s="2067">
        <v>44400</v>
      </c>
      <c r="C35" s="2067">
        <v>93900</v>
      </c>
      <c r="D35" s="2067">
        <v>103500</v>
      </c>
      <c r="E35" s="2067">
        <v>1226352</v>
      </c>
      <c r="F35" s="2067">
        <v>1362652</v>
      </c>
      <c r="G35" s="2067">
        <v>1515252</v>
      </c>
      <c r="H35" s="2067">
        <v>1566372</v>
      </c>
      <c r="I35" s="2068">
        <v>1698872</v>
      </c>
      <c r="J35" s="2068">
        <v>2080112</v>
      </c>
      <c r="K35" s="2069">
        <v>2080112</v>
      </c>
      <c r="L35" s="2068">
        <v>2438992</v>
      </c>
      <c r="M35" s="2070">
        <f t="shared" si="1"/>
        <v>2438992</v>
      </c>
    </row>
    <row r="36" spans="1:13" ht="16.5">
      <c r="A36" s="2067">
        <v>722784</v>
      </c>
      <c r="B36" s="2067">
        <v>3541741</v>
      </c>
      <c r="C36" s="2067">
        <v>9233751</v>
      </c>
      <c r="D36" s="2067">
        <v>11812628</v>
      </c>
      <c r="E36" s="2067">
        <v>18580198</v>
      </c>
      <c r="F36" s="2067">
        <v>21746679</v>
      </c>
      <c r="G36" s="2067">
        <v>27477605</v>
      </c>
      <c r="H36" s="2067">
        <v>30573794</v>
      </c>
      <c r="I36" s="2068">
        <v>33659611</v>
      </c>
      <c r="J36" s="2068">
        <v>37068094</v>
      </c>
      <c r="K36" s="2069">
        <v>40177513</v>
      </c>
      <c r="L36" s="2068">
        <v>46470095</v>
      </c>
      <c r="M36" s="2070">
        <f t="shared" si="1"/>
        <v>46470095</v>
      </c>
    </row>
    <row r="37" spans="1:13" ht="16.5">
      <c r="A37" s="2067">
        <v>193360</v>
      </c>
      <c r="B37" s="2067">
        <v>11548389</v>
      </c>
      <c r="C37" s="2067">
        <v>22947858</v>
      </c>
      <c r="D37" s="2067">
        <v>44807192</v>
      </c>
      <c r="E37" s="2067">
        <v>69173182</v>
      </c>
      <c r="F37" s="2067">
        <v>82136495</v>
      </c>
      <c r="G37" s="2067">
        <v>105111713</v>
      </c>
      <c r="H37" s="2067">
        <v>118057907</v>
      </c>
      <c r="I37" s="2068">
        <v>131035741</v>
      </c>
      <c r="J37" s="2068">
        <v>144418647</v>
      </c>
      <c r="K37" s="2069">
        <v>157841301</v>
      </c>
      <c r="L37" s="2068">
        <v>185125698</v>
      </c>
      <c r="M37" s="2070">
        <f t="shared" si="1"/>
        <v>185125698</v>
      </c>
    </row>
    <row r="38" spans="1:13" ht="16.5">
      <c r="A38" s="2067">
        <v>199680</v>
      </c>
      <c r="B38" s="2067">
        <v>407612</v>
      </c>
      <c r="C38" s="2067">
        <v>605344</v>
      </c>
      <c r="D38" s="2067">
        <v>1135296</v>
      </c>
      <c r="E38" s="2067">
        <v>1371716</v>
      </c>
      <c r="F38" s="2067">
        <v>1573144</v>
      </c>
      <c r="G38" s="2067">
        <v>1948060</v>
      </c>
      <c r="H38" s="2067">
        <v>2146336</v>
      </c>
      <c r="I38" s="2068">
        <v>2355648</v>
      </c>
      <c r="J38" s="2068">
        <v>2782132</v>
      </c>
      <c r="K38" s="2069">
        <v>2790592</v>
      </c>
      <c r="L38" s="2068">
        <v>3230904</v>
      </c>
      <c r="M38" s="2070">
        <f t="shared" si="1"/>
        <v>3230904</v>
      </c>
    </row>
    <row r="39" spans="1:13" ht="16.5">
      <c r="A39" s="2067">
        <v>215980</v>
      </c>
      <c r="B39" s="2067">
        <v>1674496</v>
      </c>
      <c r="C39" s="2067">
        <v>3210044</v>
      </c>
      <c r="D39" s="2067">
        <v>6011096</v>
      </c>
      <c r="E39" s="2067">
        <v>9095200</v>
      </c>
      <c r="F39" s="2067">
        <v>10623724</v>
      </c>
      <c r="G39" s="2067">
        <v>13438832</v>
      </c>
      <c r="H39" s="2067">
        <v>14899752</v>
      </c>
      <c r="I39" s="2068">
        <v>16318688</v>
      </c>
      <c r="J39" s="2068">
        <v>19065016</v>
      </c>
      <c r="K39" s="2069">
        <v>19144556</v>
      </c>
      <c r="L39" s="2068">
        <v>21849420</v>
      </c>
      <c r="M39" s="2070">
        <f t="shared" si="1"/>
        <v>21849420</v>
      </c>
    </row>
    <row r="40" spans="1:13" ht="16.5">
      <c r="A40" s="2067">
        <v>63240</v>
      </c>
      <c r="B40" s="2067">
        <v>4209180</v>
      </c>
      <c r="C40" s="2067">
        <v>12434796</v>
      </c>
      <c r="D40" s="2067">
        <v>16265292</v>
      </c>
      <c r="E40" s="2067">
        <v>25467908</v>
      </c>
      <c r="F40" s="2067">
        <v>30311544</v>
      </c>
      <c r="G40" s="2067">
        <v>49661257</v>
      </c>
      <c r="H40" s="2067">
        <v>49943401</v>
      </c>
      <c r="I40" s="2068">
        <v>50126989</v>
      </c>
      <c r="J40" s="2068">
        <v>60224616</v>
      </c>
      <c r="K40" s="2069">
        <v>60446556</v>
      </c>
      <c r="L40" s="2068">
        <v>71748523</v>
      </c>
      <c r="M40" s="2070">
        <f t="shared" si="1"/>
        <v>71748523</v>
      </c>
    </row>
    <row r="41" spans="1:13" ht="16.5">
      <c r="A41" s="2071">
        <v>23631712</v>
      </c>
      <c r="B41" s="2071">
        <v>47465872</v>
      </c>
      <c r="C41" s="2071">
        <v>71015360</v>
      </c>
      <c r="D41" s="2071">
        <v>114617332</v>
      </c>
      <c r="E41" s="2071">
        <v>162298712</v>
      </c>
      <c r="F41" s="2071">
        <v>187271728</v>
      </c>
      <c r="G41" s="2067">
        <v>232160272</v>
      </c>
      <c r="H41" s="2071">
        <v>257373488</v>
      </c>
      <c r="I41" s="2068">
        <v>281487904</v>
      </c>
      <c r="J41" s="2068">
        <v>329542728</v>
      </c>
      <c r="K41" s="2069">
        <v>329997752</v>
      </c>
      <c r="L41" s="2068">
        <v>377878018</v>
      </c>
      <c r="M41" s="2070">
        <f t="shared" si="1"/>
        <v>377878018</v>
      </c>
    </row>
    <row r="42" spans="1:13" ht="16.5">
      <c r="A42" s="2067">
        <v>1213920</v>
      </c>
      <c r="B42" s="2067">
        <v>31516766</v>
      </c>
      <c r="C42" s="2067">
        <v>61958692</v>
      </c>
      <c r="D42" s="2067">
        <v>180063824</v>
      </c>
      <c r="E42" s="2067">
        <v>213784984</v>
      </c>
      <c r="F42" s="2067">
        <v>215473684</v>
      </c>
      <c r="G42" s="2067">
        <v>274839833</v>
      </c>
      <c r="H42" s="2067">
        <v>305328105</v>
      </c>
      <c r="I42" s="2068">
        <v>335287425</v>
      </c>
      <c r="J42" s="2068">
        <v>393644775</v>
      </c>
      <c r="K42" s="2069">
        <v>395339895</v>
      </c>
      <c r="L42" s="2068">
        <v>454373629</v>
      </c>
      <c r="M42" s="2070">
        <f t="shared" si="1"/>
        <v>454373629</v>
      </c>
    </row>
    <row r="43" spans="1:13" ht="16.5">
      <c r="A43" s="2067">
        <v>5359202</v>
      </c>
      <c r="B43" s="2067">
        <v>16925129</v>
      </c>
      <c r="C43" s="2067">
        <v>37998000</v>
      </c>
      <c r="D43" s="2067">
        <v>73555472</v>
      </c>
      <c r="E43" s="2067">
        <v>85560151</v>
      </c>
      <c r="F43" s="2067">
        <v>86177291</v>
      </c>
      <c r="G43" s="2067">
        <v>108400075</v>
      </c>
      <c r="H43" s="2067">
        <v>120035900</v>
      </c>
      <c r="I43" s="2068">
        <v>131460016</v>
      </c>
      <c r="J43" s="2068">
        <v>153223695</v>
      </c>
      <c r="K43" s="2069">
        <v>162608455</v>
      </c>
      <c r="L43" s="2068">
        <v>175440065</v>
      </c>
      <c r="M43" s="2070">
        <f t="shared" si="1"/>
        <v>175440065</v>
      </c>
    </row>
    <row r="44" spans="1:13" ht="16.5">
      <c r="A44" s="2067">
        <v>2262776</v>
      </c>
      <c r="B44" s="2067">
        <v>11380954</v>
      </c>
      <c r="C44" s="2067">
        <v>20471569</v>
      </c>
      <c r="D44" s="2067">
        <v>55554682</v>
      </c>
      <c r="E44" s="2067">
        <v>56050682</v>
      </c>
      <c r="F44" s="2067">
        <v>81704402</v>
      </c>
      <c r="G44" s="2067">
        <v>90523986</v>
      </c>
      <c r="H44" s="2067">
        <v>92253953</v>
      </c>
      <c r="I44" s="2068">
        <v>101431836</v>
      </c>
      <c r="J44" s="2068">
        <v>119575714</v>
      </c>
      <c r="K44" s="2069">
        <v>119575714</v>
      </c>
      <c r="L44" s="2068">
        <v>137812533</v>
      </c>
      <c r="M44" s="2070">
        <f t="shared" si="1"/>
        <v>137812533</v>
      </c>
    </row>
    <row r="45" spans="1:13" ht="16.5">
      <c r="A45" s="2072">
        <v>5108024</v>
      </c>
      <c r="B45" s="2072">
        <v>10211216</v>
      </c>
      <c r="C45" s="2072">
        <v>15825952</v>
      </c>
      <c r="D45" s="2072">
        <v>25844656</v>
      </c>
      <c r="E45" s="2072">
        <v>40081298</v>
      </c>
      <c r="F45" s="2072">
        <v>46464380</v>
      </c>
      <c r="G45" s="2067">
        <v>56541990</v>
      </c>
      <c r="H45" s="2072">
        <v>56541990</v>
      </c>
      <c r="I45" s="2068">
        <v>68038070</v>
      </c>
      <c r="J45" s="2068">
        <v>74179220</v>
      </c>
      <c r="K45" s="2069">
        <v>74179220</v>
      </c>
      <c r="L45" s="2068">
        <v>86009144</v>
      </c>
      <c r="M45" s="2070">
        <f t="shared" si="1"/>
        <v>86009144</v>
      </c>
    </row>
    <row r="46" spans="1:13" ht="16.5">
      <c r="A46" s="2072">
        <v>0</v>
      </c>
      <c r="B46" s="2072">
        <v>5211024</v>
      </c>
      <c r="C46" s="2072">
        <v>15026704</v>
      </c>
      <c r="D46" s="2072">
        <v>24884128</v>
      </c>
      <c r="E46" s="2072">
        <v>30681048</v>
      </c>
      <c r="F46" s="2072">
        <v>36501928</v>
      </c>
      <c r="G46" s="2067">
        <v>46891992</v>
      </c>
      <c r="H46" s="2072">
        <v>52177884</v>
      </c>
      <c r="I46" s="2068">
        <v>57103992</v>
      </c>
      <c r="J46" s="2068">
        <v>66755668</v>
      </c>
      <c r="K46" s="2069">
        <v>67099016</v>
      </c>
      <c r="L46" s="2068">
        <v>78292916</v>
      </c>
      <c r="M46" s="2070">
        <f t="shared" si="1"/>
        <v>78292916</v>
      </c>
    </row>
    <row r="47" spans="1:13" ht="16.5">
      <c r="A47" s="2067">
        <v>0</v>
      </c>
      <c r="B47" s="2067">
        <v>4893056</v>
      </c>
      <c r="C47" s="2067">
        <v>10355756</v>
      </c>
      <c r="D47" s="2067">
        <v>24848804</v>
      </c>
      <c r="E47" s="2067">
        <v>33692564</v>
      </c>
      <c r="F47" s="2067">
        <v>39265509</v>
      </c>
      <c r="G47" s="2067">
        <v>49619927</v>
      </c>
      <c r="H47" s="2067">
        <v>54793563</v>
      </c>
      <c r="I47" s="2068">
        <v>60327841</v>
      </c>
      <c r="J47" s="2068">
        <v>71513231</v>
      </c>
      <c r="K47" s="2069">
        <v>71888351</v>
      </c>
      <c r="L47" s="2068">
        <v>82527023</v>
      </c>
      <c r="M47" s="2070">
        <f t="shared" si="1"/>
        <v>82527023</v>
      </c>
    </row>
    <row r="48" spans="1:13" ht="16.5">
      <c r="A48" s="2072">
        <v>4295708</v>
      </c>
      <c r="B48" s="2072">
        <v>8234028</v>
      </c>
      <c r="C48" s="2072">
        <v>12460948</v>
      </c>
      <c r="D48" s="2072">
        <v>20834928</v>
      </c>
      <c r="E48" s="2072">
        <v>31274568</v>
      </c>
      <c r="F48" s="2072">
        <v>33887328</v>
      </c>
      <c r="G48" s="2067">
        <v>44854808</v>
      </c>
      <c r="H48" s="2072">
        <v>49496348</v>
      </c>
      <c r="I48" s="2068">
        <v>54071108</v>
      </c>
      <c r="J48" s="2068">
        <v>58668128</v>
      </c>
      <c r="K48" s="2069">
        <v>63062436</v>
      </c>
      <c r="L48" s="2068">
        <v>71645976</v>
      </c>
      <c r="M48" s="2070">
        <f t="shared" si="1"/>
        <v>71645976</v>
      </c>
    </row>
    <row r="49" spans="1:13" ht="16.5">
      <c r="A49" s="2067">
        <v>0</v>
      </c>
      <c r="B49" s="2067">
        <v>9383120</v>
      </c>
      <c r="C49" s="2067">
        <v>19101020</v>
      </c>
      <c r="D49" s="2067">
        <v>46177604</v>
      </c>
      <c r="E49" s="2067">
        <v>59445024</v>
      </c>
      <c r="F49" s="2067">
        <v>78512076</v>
      </c>
      <c r="G49" s="2067">
        <v>88227252</v>
      </c>
      <c r="H49" s="2067">
        <v>98191892</v>
      </c>
      <c r="I49" s="2068">
        <v>107995604</v>
      </c>
      <c r="J49" s="2068">
        <v>118388855</v>
      </c>
      <c r="K49" s="2069">
        <v>128186094</v>
      </c>
      <c r="L49" s="2068">
        <v>147709028</v>
      </c>
      <c r="M49" s="2070">
        <f t="shared" si="1"/>
        <v>147709028</v>
      </c>
    </row>
    <row r="50" spans="1:13" ht="16.5">
      <c r="A50" s="2067">
        <v>887672</v>
      </c>
      <c r="B50" s="2067">
        <v>6396811</v>
      </c>
      <c r="C50" s="2067">
        <v>11958715</v>
      </c>
      <c r="D50" s="2067">
        <v>22769275</v>
      </c>
      <c r="E50" s="2067">
        <v>34847123</v>
      </c>
      <c r="F50" s="2067">
        <v>40851231</v>
      </c>
      <c r="G50" s="2067">
        <v>57985487</v>
      </c>
      <c r="H50" s="2067">
        <v>63860391</v>
      </c>
      <c r="I50" s="2068">
        <v>69675971</v>
      </c>
      <c r="J50" s="2068">
        <v>75071967</v>
      </c>
      <c r="K50" s="2069">
        <v>80605655</v>
      </c>
      <c r="L50" s="2068">
        <v>87481750</v>
      </c>
      <c r="M50" s="2070">
        <f t="shared" si="1"/>
        <v>87481750</v>
      </c>
    </row>
    <row r="51" spans="1:13" ht="16.5">
      <c r="A51" s="2067">
        <v>123124</v>
      </c>
      <c r="B51" s="2067">
        <v>2496408</v>
      </c>
      <c r="C51" s="2067">
        <v>7181824</v>
      </c>
      <c r="D51" s="2067">
        <v>12577092</v>
      </c>
      <c r="E51" s="2067">
        <v>14397296</v>
      </c>
      <c r="F51" s="2067">
        <v>16843072</v>
      </c>
      <c r="G51" s="2067">
        <v>21500232</v>
      </c>
      <c r="H51" s="2067">
        <v>23791776</v>
      </c>
      <c r="I51" s="2068">
        <v>26038852</v>
      </c>
      <c r="J51" s="2068">
        <v>30549384</v>
      </c>
      <c r="K51" s="2069">
        <v>30676344</v>
      </c>
      <c r="L51" s="2068">
        <v>34938484</v>
      </c>
      <c r="M51" s="2070">
        <f t="shared" si="1"/>
        <v>34938484</v>
      </c>
    </row>
    <row r="52" spans="1:13" ht="16.5">
      <c r="A52" s="2067">
        <v>0</v>
      </c>
      <c r="B52" s="2067">
        <v>2539036</v>
      </c>
      <c r="C52" s="2067">
        <v>5069864</v>
      </c>
      <c r="D52" s="2067">
        <v>12389876</v>
      </c>
      <c r="E52" s="2067">
        <v>14778456</v>
      </c>
      <c r="F52" s="2067">
        <v>17466392</v>
      </c>
      <c r="G52" s="2067">
        <v>22319800</v>
      </c>
      <c r="H52" s="2067">
        <v>24752932</v>
      </c>
      <c r="I52" s="2068">
        <v>27132972</v>
      </c>
      <c r="J52" s="2068">
        <v>29470112</v>
      </c>
      <c r="K52" s="2069">
        <v>31762960</v>
      </c>
      <c r="L52" s="2068">
        <v>36364774</v>
      </c>
      <c r="M52" s="2070">
        <f t="shared" si="1"/>
        <v>36364774</v>
      </c>
    </row>
    <row r="53" spans="1:13" ht="16.5">
      <c r="A53" s="2073">
        <v>315640</v>
      </c>
      <c r="B53" s="2073">
        <v>13496940</v>
      </c>
      <c r="C53" s="2073">
        <v>26514640</v>
      </c>
      <c r="D53" s="2073">
        <v>51935636</v>
      </c>
      <c r="E53" s="2073">
        <v>84140772</v>
      </c>
      <c r="F53" s="2073">
        <v>110773608</v>
      </c>
      <c r="G53" s="2067">
        <v>124992581</v>
      </c>
      <c r="H53" s="2073">
        <v>137716610</v>
      </c>
      <c r="I53" s="2068">
        <v>150571348</v>
      </c>
      <c r="J53" s="2068">
        <v>164410634</v>
      </c>
      <c r="K53" s="2069">
        <v>177021960</v>
      </c>
      <c r="L53" s="2068">
        <v>201840760</v>
      </c>
      <c r="M53" s="2070">
        <f t="shared" si="1"/>
        <v>201840760</v>
      </c>
    </row>
    <row r="54" spans="1:13" ht="16.5">
      <c r="A54" s="2067">
        <v>0</v>
      </c>
      <c r="B54" s="2067">
        <v>2791825</v>
      </c>
      <c r="C54" s="2067">
        <v>8504639</v>
      </c>
      <c r="D54" s="2067">
        <v>16860438</v>
      </c>
      <c r="E54" s="2067">
        <v>19453978</v>
      </c>
      <c r="F54" s="2067">
        <v>25559088</v>
      </c>
      <c r="G54" s="2067">
        <v>32251586</v>
      </c>
      <c r="H54" s="2067">
        <v>36172840</v>
      </c>
      <c r="I54" s="2068">
        <v>39700746</v>
      </c>
      <c r="J54" s="2068">
        <v>46703950</v>
      </c>
      <c r="K54" s="2069">
        <v>46703950</v>
      </c>
      <c r="L54" s="2068">
        <v>53385664</v>
      </c>
      <c r="M54" s="2070">
        <f t="shared" si="1"/>
        <v>53385664</v>
      </c>
    </row>
    <row r="55" spans="1:13" ht="16.5">
      <c r="A55" s="2067">
        <v>0</v>
      </c>
      <c r="B55" s="2067">
        <v>510728</v>
      </c>
      <c r="C55" s="2067">
        <v>1412224</v>
      </c>
      <c r="D55" s="2067">
        <v>1840024</v>
      </c>
      <c r="E55" s="2067">
        <v>3412172</v>
      </c>
      <c r="F55" s="2067">
        <v>4463416</v>
      </c>
      <c r="G55" s="2067">
        <v>5145936</v>
      </c>
      <c r="H55" s="2067">
        <v>5720172</v>
      </c>
      <c r="I55" s="2068">
        <v>6249324</v>
      </c>
      <c r="J55" s="2068">
        <v>7301072</v>
      </c>
      <c r="K55" s="2069">
        <v>7301072</v>
      </c>
      <c r="L55" s="2068">
        <v>8344288</v>
      </c>
      <c r="M55" s="2070">
        <f t="shared" si="1"/>
        <v>8344288</v>
      </c>
    </row>
    <row r="56" spans="1:13" ht="16.5">
      <c r="A56" s="2067">
        <v>0</v>
      </c>
      <c r="B56" s="2067">
        <v>1961961</v>
      </c>
      <c r="C56" s="2067">
        <v>5837255</v>
      </c>
      <c r="D56" s="2067">
        <v>7655892</v>
      </c>
      <c r="E56" s="2067">
        <v>13230806</v>
      </c>
      <c r="F56" s="2067">
        <v>17156952</v>
      </c>
      <c r="G56" s="2067">
        <v>20858962</v>
      </c>
      <c r="H56" s="2067">
        <v>21142126</v>
      </c>
      <c r="I56" s="2068">
        <v>23006427</v>
      </c>
      <c r="J56" s="2068">
        <v>25024554</v>
      </c>
      <c r="K56" s="2069">
        <v>26882518</v>
      </c>
      <c r="L56" s="2068">
        <v>30540702</v>
      </c>
      <c r="M56" s="2070">
        <f t="shared" si="1"/>
        <v>30540702</v>
      </c>
    </row>
    <row r="57" spans="1:13" ht="16.5">
      <c r="A57" s="2067">
        <v>-82687</v>
      </c>
      <c r="B57" s="2067">
        <v>1342306</v>
      </c>
      <c r="C57" s="2067">
        <v>2755075</v>
      </c>
      <c r="D57" s="2067">
        <v>5621277</v>
      </c>
      <c r="E57" s="2067">
        <v>8495834</v>
      </c>
      <c r="F57" s="2067">
        <v>11457953</v>
      </c>
      <c r="G57" s="2067">
        <v>14255879</v>
      </c>
      <c r="H57" s="2067">
        <v>15656424</v>
      </c>
      <c r="I57" s="2068">
        <v>17076373</v>
      </c>
      <c r="J57" s="2068">
        <v>19870985</v>
      </c>
      <c r="K57" s="2069">
        <v>19942425</v>
      </c>
      <c r="L57" s="2068">
        <v>21885568</v>
      </c>
      <c r="M57" s="2070">
        <f t="shared" si="1"/>
        <v>21885568</v>
      </c>
    </row>
    <row r="58" spans="1:13" ht="16.5">
      <c r="A58" s="2067">
        <v>2977417</v>
      </c>
      <c r="B58" s="2067">
        <v>2987217</v>
      </c>
      <c r="C58" s="2067">
        <v>9076347</v>
      </c>
      <c r="D58" s="2067">
        <v>15402401</v>
      </c>
      <c r="E58" s="2067">
        <v>19522098</v>
      </c>
      <c r="F58" s="2067">
        <v>23421443</v>
      </c>
      <c r="G58" s="2067">
        <v>30180492</v>
      </c>
      <c r="H58" s="2067">
        <v>37414104</v>
      </c>
      <c r="I58" s="2068">
        <v>41115242</v>
      </c>
      <c r="J58" s="2068">
        <v>44820422</v>
      </c>
      <c r="K58" s="2069">
        <v>44820422</v>
      </c>
      <c r="L58" s="2068">
        <v>52139662</v>
      </c>
      <c r="M58" s="2070">
        <f t="shared" si="1"/>
        <v>52139662</v>
      </c>
    </row>
    <row r="59" spans="1:13" ht="16.5">
      <c r="A59" s="2073">
        <v>55920</v>
      </c>
      <c r="B59" s="2073">
        <v>1743596</v>
      </c>
      <c r="C59" s="2073">
        <v>5417512</v>
      </c>
      <c r="D59" s="2073">
        <v>7233872</v>
      </c>
      <c r="E59" s="2073">
        <v>11078840</v>
      </c>
      <c r="F59" s="2073">
        <v>13191696</v>
      </c>
      <c r="G59" s="2067">
        <v>17277592</v>
      </c>
      <c r="H59" s="2073">
        <v>19504240</v>
      </c>
      <c r="I59" s="2068">
        <v>21702340</v>
      </c>
      <c r="J59" s="2068">
        <v>26059012</v>
      </c>
      <c r="K59" s="2069">
        <v>26174168</v>
      </c>
      <c r="L59" s="2068">
        <v>30563644</v>
      </c>
      <c r="M59" s="2070">
        <f t="shared" si="1"/>
        <v>30563644</v>
      </c>
    </row>
    <row r="60" spans="1:13" ht="16.5">
      <c r="A60" s="2073">
        <v>10860</v>
      </c>
      <c r="B60" s="2073">
        <v>396720</v>
      </c>
      <c r="C60" s="2073">
        <v>1200040</v>
      </c>
      <c r="D60" s="2073">
        <v>1979280</v>
      </c>
      <c r="E60" s="2073">
        <v>2389200</v>
      </c>
      <c r="F60" s="2073">
        <v>2815080</v>
      </c>
      <c r="G60" s="2067">
        <v>3654000</v>
      </c>
      <c r="H60" s="2073">
        <v>4073040</v>
      </c>
      <c r="I60" s="2068">
        <v>4480180</v>
      </c>
      <c r="J60" s="2068">
        <v>5271000</v>
      </c>
      <c r="K60" s="2069">
        <v>5271000</v>
      </c>
      <c r="L60" s="2068">
        <v>6086060</v>
      </c>
      <c r="M60" s="2070">
        <f t="shared" si="1"/>
        <v>6086060</v>
      </c>
    </row>
    <row r="61" spans="1:13" ht="16.5">
      <c r="A61" s="2067">
        <v>1008496</v>
      </c>
      <c r="B61" s="2067">
        <v>2069484</v>
      </c>
      <c r="C61" s="2067">
        <v>3291252</v>
      </c>
      <c r="D61" s="2067">
        <v>7108244</v>
      </c>
      <c r="E61" s="2067">
        <v>7924244</v>
      </c>
      <c r="F61" s="2067">
        <v>10080469</v>
      </c>
      <c r="G61" s="2067">
        <v>13229630</v>
      </c>
      <c r="H61" s="2067">
        <v>15274157</v>
      </c>
      <c r="I61" s="2068">
        <v>16843110</v>
      </c>
      <c r="J61" s="2068">
        <v>18379437</v>
      </c>
      <c r="K61" s="2069">
        <v>19826708</v>
      </c>
      <c r="L61" s="2068">
        <v>21430979</v>
      </c>
      <c r="M61" s="2070">
        <f t="shared" si="1"/>
        <v>21430979</v>
      </c>
    </row>
    <row r="62" spans="1:13" ht="16.5">
      <c r="A62" s="2067">
        <v>540112</v>
      </c>
      <c r="B62" s="2067">
        <v>1048016</v>
      </c>
      <c r="C62" s="2067">
        <v>1525760</v>
      </c>
      <c r="D62" s="2067">
        <v>2463368</v>
      </c>
      <c r="E62" s="2067">
        <v>3557264</v>
      </c>
      <c r="F62" s="2067">
        <v>4021680</v>
      </c>
      <c r="G62" s="2067">
        <v>5154024</v>
      </c>
      <c r="H62" s="2067">
        <v>5816884</v>
      </c>
      <c r="I62" s="2068">
        <v>6441380</v>
      </c>
      <c r="J62" s="2068">
        <v>7073948</v>
      </c>
      <c r="K62" s="2069">
        <v>7258868</v>
      </c>
      <c r="L62" s="2068">
        <v>8386764</v>
      </c>
      <c r="M62" s="2070">
        <f t="shared" si="1"/>
        <v>8386764</v>
      </c>
    </row>
    <row r="63" spans="1:13" ht="16.5">
      <c r="A63" s="2067">
        <v>125540</v>
      </c>
      <c r="B63" s="2067">
        <v>169980</v>
      </c>
      <c r="C63" s="2067">
        <v>258500</v>
      </c>
      <c r="D63" s="2067">
        <v>332400</v>
      </c>
      <c r="E63" s="2067">
        <v>619100</v>
      </c>
      <c r="F63" s="2067">
        <v>619100</v>
      </c>
      <c r="G63" s="2067">
        <v>1125120</v>
      </c>
      <c r="H63" s="2067">
        <v>1360720</v>
      </c>
      <c r="I63" s="2070">
        <v>1595060</v>
      </c>
      <c r="J63" s="2070">
        <v>2073460</v>
      </c>
      <c r="K63" s="2069">
        <v>2073460</v>
      </c>
      <c r="L63" s="2070">
        <v>2586680</v>
      </c>
      <c r="M63" s="2070">
        <f t="shared" si="1"/>
        <v>2586680</v>
      </c>
    </row>
    <row r="64" spans="1:13" ht="16.5">
      <c r="A64" s="2067">
        <v>0</v>
      </c>
      <c r="B64" s="2067">
        <v>552808</v>
      </c>
      <c r="C64" s="2067">
        <v>1732068</v>
      </c>
      <c r="D64" s="2067">
        <v>3599356</v>
      </c>
      <c r="E64" s="2067">
        <v>3743356</v>
      </c>
      <c r="F64" s="2067">
        <v>4497100</v>
      </c>
      <c r="G64" s="2067">
        <v>5844192</v>
      </c>
      <c r="H64" s="2067">
        <v>6593748</v>
      </c>
      <c r="I64" s="2070">
        <v>7322064</v>
      </c>
      <c r="J64" s="2070">
        <v>8875304</v>
      </c>
      <c r="K64" s="2069">
        <v>8875304</v>
      </c>
      <c r="L64" s="2070">
        <v>10406180</v>
      </c>
      <c r="M64" s="2070">
        <f t="shared" si="1"/>
        <v>10406180</v>
      </c>
    </row>
    <row r="68" spans="1:28" ht="15">
      <c r="A68" s="2989" t="s">
        <v>2726</v>
      </c>
      <c r="B68" s="2989"/>
      <c r="C68" s="2989"/>
      <c r="D68" s="2989"/>
      <c r="E68" s="2989"/>
      <c r="F68" s="2990" t="s">
        <v>2727</v>
      </c>
      <c r="G68" s="2990"/>
      <c r="H68" s="2990"/>
      <c r="I68" s="2990"/>
      <c r="J68" s="2990"/>
      <c r="K68" s="2990"/>
      <c r="L68" s="2990"/>
      <c r="M68" s="2990"/>
      <c r="N68" s="2074"/>
      <c r="O68" s="2990" t="str">
        <f>F68</f>
        <v>Realizimi i Shpenzimeve për periudhën Janar 2020</v>
      </c>
      <c r="P68" s="2990"/>
      <c r="Q68" s="2990"/>
      <c r="R68" s="2990"/>
      <c r="S68" s="2990"/>
      <c r="T68" s="2990" t="str">
        <f>F68</f>
        <v>Realizimi i Shpenzimeve për periudhën Janar 2020</v>
      </c>
      <c r="U68" s="2990"/>
      <c r="V68" s="2990"/>
      <c r="W68" s="2990"/>
      <c r="X68" s="2990"/>
      <c r="Y68" s="2990"/>
      <c r="Z68" s="2990"/>
      <c r="AA68" s="2990"/>
      <c r="AB68" s="2074"/>
    </row>
    <row r="69" spans="1:28" ht="17.25" thickBot="1">
      <c r="A69" s="2991" t="s">
        <v>2301</v>
      </c>
      <c r="B69" s="2991"/>
      <c r="C69" s="2991"/>
      <c r="D69" s="2991"/>
      <c r="E69" s="2991"/>
      <c r="F69" s="2075"/>
      <c r="G69" s="2076"/>
      <c r="H69" s="2077"/>
      <c r="I69" s="2078"/>
      <c r="J69" s="2078"/>
      <c r="K69" s="2078"/>
      <c r="L69" s="2078"/>
      <c r="M69" s="2079"/>
      <c r="N69" s="2079"/>
      <c r="O69" s="2074"/>
      <c r="P69" s="2080"/>
      <c r="Q69" s="2081"/>
      <c r="R69" s="2082"/>
      <c r="S69" s="2082"/>
      <c r="T69" s="2083"/>
      <c r="U69" s="2083"/>
      <c r="V69" s="2084"/>
      <c r="W69" s="2085"/>
      <c r="X69" s="2085"/>
      <c r="Y69" s="2078"/>
      <c r="Z69" s="2078"/>
      <c r="AA69" s="2085"/>
      <c r="AB69" s="2085"/>
    </row>
    <row r="70" spans="1:28" ht="15.75" thickBot="1">
      <c r="A70" s="2992" t="s">
        <v>657</v>
      </c>
      <c r="B70" s="2994" t="s">
        <v>2728</v>
      </c>
      <c r="C70" s="2086" t="s">
        <v>2729</v>
      </c>
      <c r="D70" s="2087" t="s">
        <v>146</v>
      </c>
      <c r="E70" s="2088" t="s">
        <v>147</v>
      </c>
      <c r="F70" s="2996" t="s">
        <v>2730</v>
      </c>
      <c r="G70" s="2997"/>
      <c r="H70" s="2997"/>
      <c r="I70" s="2997"/>
      <c r="J70" s="2997"/>
      <c r="K70" s="2997"/>
      <c r="L70" s="2997"/>
      <c r="M70" s="2997"/>
      <c r="N70" s="2998"/>
      <c r="O70" s="2999" t="s">
        <v>2731</v>
      </c>
      <c r="P70" s="3000"/>
      <c r="Q70" s="3000"/>
      <c r="R70" s="3000"/>
      <c r="S70" s="3000"/>
      <c r="T70" s="3001" t="s">
        <v>2732</v>
      </c>
      <c r="U70" s="3002"/>
      <c r="V70" s="3002"/>
      <c r="W70" s="3002"/>
      <c r="X70" s="3002"/>
      <c r="Y70" s="3002"/>
      <c r="Z70" s="3002"/>
      <c r="AA70" s="3002"/>
      <c r="AB70" s="3003"/>
    </row>
    <row r="71" spans="1:28" ht="105.75" thickBot="1">
      <c r="A71" s="2993"/>
      <c r="B71" s="2995"/>
      <c r="C71" s="2089" t="s">
        <v>2733</v>
      </c>
      <c r="D71" s="2090" t="s">
        <v>2733</v>
      </c>
      <c r="E71" s="2091" t="s">
        <v>2733</v>
      </c>
      <c r="F71" s="2092">
        <v>600</v>
      </c>
      <c r="G71" s="2093">
        <v>601</v>
      </c>
      <c r="H71" s="2092">
        <v>602</v>
      </c>
      <c r="I71" s="2093">
        <v>231</v>
      </c>
      <c r="J71" s="2093">
        <v>606</v>
      </c>
      <c r="K71" s="2092" t="s">
        <v>2734</v>
      </c>
      <c r="L71" s="2094" t="s">
        <v>2735</v>
      </c>
      <c r="M71" s="2093" t="s">
        <v>2736</v>
      </c>
      <c r="N71" s="2095" t="s">
        <v>2737</v>
      </c>
      <c r="O71" s="2096">
        <v>600</v>
      </c>
      <c r="P71" s="2097">
        <v>601</v>
      </c>
      <c r="Q71" s="2098">
        <v>602</v>
      </c>
      <c r="R71" s="2097">
        <v>231</v>
      </c>
      <c r="S71" s="2097">
        <v>606</v>
      </c>
      <c r="T71" s="2099">
        <v>600</v>
      </c>
      <c r="U71" s="2100">
        <v>601</v>
      </c>
      <c r="V71" s="2099">
        <v>602</v>
      </c>
      <c r="W71" s="2100">
        <v>231</v>
      </c>
      <c r="X71" s="2101">
        <v>606</v>
      </c>
      <c r="Y71" s="2099" t="s">
        <v>2734</v>
      </c>
      <c r="Z71" s="2102" t="s">
        <v>2735</v>
      </c>
      <c r="AA71" s="2102" t="s">
        <v>2736</v>
      </c>
      <c r="AB71" s="2103" t="s">
        <v>2737</v>
      </c>
    </row>
    <row r="72" spans="1:28" ht="16.5">
      <c r="A72" s="2104">
        <v>1</v>
      </c>
      <c r="B72" s="2105" t="e">
        <f>'[1]Pagat 2020 Limite mujore'!B73</f>
        <v>#REF!</v>
      </c>
      <c r="C72" s="2106" t="e">
        <f>SUM(F72:M72)</f>
        <v>#REF!</v>
      </c>
      <c r="D72" s="2107" t="e">
        <f t="shared" ref="D72:D80" si="2">SUM(O72:S72)</f>
        <v>#REF!</v>
      </c>
      <c r="E72" s="2108" t="e">
        <f t="shared" ref="E72:E80" si="3">T72+U72+V72+W72+X72</f>
        <v>#REF!</v>
      </c>
      <c r="F72" s="2109" t="e">
        <f>'[1]Pagat 2020 Limite mujore'!S73</f>
        <v>#REF!</v>
      </c>
      <c r="G72" s="2110" t="e">
        <f>'[1]601 2019 Limite mujore'!V73</f>
        <v>#REF!</v>
      </c>
      <c r="H72" s="2109" t="e">
        <f>'[1]602  2019 Shpenz op limit mujor'!S70</f>
        <v>#REF!</v>
      </c>
      <c r="I72" s="2110" t="e">
        <f>'[1]Investimet 2019'!S70</f>
        <v>#REF!</v>
      </c>
      <c r="J72" s="2111" t="e">
        <f>'[1]606  2018 Shp per ind lim mujor'!S70</f>
        <v>#REF!</v>
      </c>
      <c r="K72" s="2112" t="e">
        <f>'[1]Permbledhsja dhe Institucionet '!L79</f>
        <v>#REF!</v>
      </c>
      <c r="L72" s="2113" t="e">
        <f>'[1]Permbledhsja dhe Institucionet '!L80</f>
        <v>#REF!</v>
      </c>
      <c r="M72" s="2112" t="e">
        <f>'[1]Permbledhsja dhe Institucionet '!L81</f>
        <v>#REF!</v>
      </c>
      <c r="N72" s="2112" t="e">
        <f>'[1]Permbledhsja dhe Institucionet '!L82</f>
        <v>#REF!</v>
      </c>
      <c r="O72" s="2114" t="e">
        <f>'[1]Pagat 2020 Limite mujore'!F73</f>
        <v>#REF!</v>
      </c>
      <c r="P72" s="2114" t="e">
        <f>'[1]601 2019 Limite mujore'!I73</f>
        <v>#REF!</v>
      </c>
      <c r="Q72" s="2109" t="e">
        <f>'[1]602  2019 Shpenz op limit mujor'!F70</f>
        <v>#REF!</v>
      </c>
      <c r="R72" s="2115" t="e">
        <f>'[1]Investimet 2019'!F70</f>
        <v>#REF!</v>
      </c>
      <c r="S72" s="2115" t="e">
        <f>'[1]606  2018 Shp per ind lim mujor'!F70</f>
        <v>#REF!</v>
      </c>
      <c r="T72" s="2112" t="e">
        <f>'[1]Permbledhsja dhe Institucionet '!M86</f>
        <v>#REF!</v>
      </c>
      <c r="U72" s="2116" t="e">
        <f>'[1]Permbledhsja dhe Institucionet '!M103</f>
        <v>#REF!</v>
      </c>
      <c r="V72" s="2112" t="e">
        <f>'[1]Permbledhsja dhe Institucionet '!M106</f>
        <v>#REF!</v>
      </c>
      <c r="W72" s="2116" t="e">
        <f>'[1]Permbledhsja dhe Institucionet '!M184</f>
        <v>#REF!</v>
      </c>
      <c r="X72" s="2117" t="e">
        <f>'[1]Permbledhsja dhe Institucionet '!M187</f>
        <v>#REF!</v>
      </c>
      <c r="Y72" s="2110" t="e">
        <f>'[1]Permbledhsja dhe Institucionet '!M79</f>
        <v>#REF!</v>
      </c>
      <c r="Z72" s="2118" t="e">
        <f>'[1]Permbledhsja dhe Institucionet '!M80</f>
        <v>#REF!</v>
      </c>
      <c r="AA72" s="2119" t="e">
        <f>'[1]Permbledhsja dhe Institucionet '!M81</f>
        <v>#REF!</v>
      </c>
      <c r="AB72" s="2120" t="e">
        <f>'[1]Permbledhsja dhe Institucionet '!M82</f>
        <v>#REF!</v>
      </c>
    </row>
    <row r="73" spans="1:28" ht="16.5">
      <c r="A73" s="2121">
        <v>2</v>
      </c>
      <c r="B73" s="2122" t="e">
        <f>'[1]Pagat 2020 Limite mujore'!B74</f>
        <v>#REF!</v>
      </c>
      <c r="C73" s="2106" t="e">
        <f t="shared" ref="C73:C80" si="4">SUM(F73:M73)</f>
        <v>#REF!</v>
      </c>
      <c r="D73" s="2123" t="e">
        <f t="shared" si="2"/>
        <v>#REF!</v>
      </c>
      <c r="E73" s="2108" t="e">
        <f t="shared" si="3"/>
        <v>#REF!</v>
      </c>
      <c r="F73" s="2124" t="e">
        <f>'[1]Pagat 2020 Limite mujore'!S74</f>
        <v>#REF!</v>
      </c>
      <c r="G73" s="2125" t="e">
        <f>'[1]601 2019 Limite mujore'!V74</f>
        <v>#REF!</v>
      </c>
      <c r="H73" s="2124" t="e">
        <f>'[1]602  2019 Shpenz op limit mujor'!S71</f>
        <v>#REF!</v>
      </c>
      <c r="I73" s="2125" t="e">
        <f>'[1]Investimet 2019'!S71</f>
        <v>#REF!</v>
      </c>
      <c r="J73" s="2111" t="e">
        <f>'[1]606  2018 Shp per ind lim mujor'!S71</f>
        <v>#REF!</v>
      </c>
      <c r="K73" s="2126" t="e">
        <f>'[1]Permbledhsja dhe Institucionet '!N79</f>
        <v>#REF!</v>
      </c>
      <c r="L73" s="2127" t="e">
        <f>'[1]Permbledhsja dhe Institucionet '!N80</f>
        <v>#REF!</v>
      </c>
      <c r="M73" s="2128" t="e">
        <f>'[1]Permbledhsja dhe Institucionet '!N81</f>
        <v>#REF!</v>
      </c>
      <c r="N73" s="2128" t="e">
        <f>'[1]Permbledhsja dhe Institucionet '!N82</f>
        <v>#REF!</v>
      </c>
      <c r="O73" s="2125" t="e">
        <f>'[1]Pagat 2020 Limite mujore'!F74</f>
        <v>#REF!</v>
      </c>
      <c r="P73" s="2125" t="e">
        <f>'[1]601 2019 Limite mujore'!I74</f>
        <v>#REF!</v>
      </c>
      <c r="Q73" s="2124" t="e">
        <f>'[1]602  2019 Shpenz op limit mujor'!F71</f>
        <v>#REF!</v>
      </c>
      <c r="R73" s="2128" t="e">
        <f>'[1]Investimet 2019'!F71</f>
        <v>#REF!</v>
      </c>
      <c r="S73" s="2111" t="e">
        <f>'[1]606  2018 Shp per ind lim mujor'!F71</f>
        <v>#REF!</v>
      </c>
      <c r="T73" s="2126" t="e">
        <f>'[1]Permbledhsja dhe Institucionet '!O86</f>
        <v>#REF!</v>
      </c>
      <c r="U73" s="2129" t="e">
        <f>'[1]Permbledhsja dhe Institucionet '!O103</f>
        <v>#REF!</v>
      </c>
      <c r="V73" s="2126" t="e">
        <f>'[1]Permbledhsja dhe Institucionet '!O106</f>
        <v>#REF!</v>
      </c>
      <c r="W73" s="2129" t="e">
        <f>'[1]Permbledhsja dhe Institucionet '!O184</f>
        <v>#REF!</v>
      </c>
      <c r="X73" s="2130" t="e">
        <f>'[1]Permbledhsja dhe Institucionet '!O187</f>
        <v>#REF!</v>
      </c>
      <c r="Y73" s="2125" t="e">
        <f>'[1]Permbledhsja dhe Institucionet '!O79</f>
        <v>#REF!</v>
      </c>
      <c r="Z73" s="2131" t="e">
        <f>'[1]Permbledhsja dhe Institucionet '!O80</f>
        <v>#REF!</v>
      </c>
      <c r="AA73" s="2132" t="e">
        <f>'[1]Permbledhsja dhe Institucionet '!O81</f>
        <v>#REF!</v>
      </c>
      <c r="AB73" s="2126" t="e">
        <f>'[1]Permbledhsja dhe Institucionet '!O82</f>
        <v>#REF!</v>
      </c>
    </row>
    <row r="74" spans="1:28" ht="16.5">
      <c r="A74" s="2104">
        <v>3</v>
      </c>
      <c r="B74" s="2122" t="e">
        <f>'[1]Pagat 2020 Limite mujore'!B75</f>
        <v>#REF!</v>
      </c>
      <c r="C74" s="2106" t="e">
        <f t="shared" si="4"/>
        <v>#REF!</v>
      </c>
      <c r="D74" s="2123" t="e">
        <f t="shared" si="2"/>
        <v>#REF!</v>
      </c>
      <c r="E74" s="2108" t="e">
        <f t="shared" si="3"/>
        <v>#REF!</v>
      </c>
      <c r="F74" s="2124" t="e">
        <f>'[1]Pagat 2020 Limite mujore'!S75</f>
        <v>#REF!</v>
      </c>
      <c r="G74" s="2125" t="e">
        <f>'[1]601 2019 Limite mujore'!V75</f>
        <v>#REF!</v>
      </c>
      <c r="H74" s="2124" t="e">
        <f>'[1]602  2019 Shpenz op limit mujor'!S72</f>
        <v>#REF!</v>
      </c>
      <c r="I74" s="2125" t="e">
        <f>'[1]Investimet 2019'!S72</f>
        <v>#REF!</v>
      </c>
      <c r="J74" s="2111" t="e">
        <f>'[1]606  2018 Shp per ind lim mujor'!S72</f>
        <v>#REF!</v>
      </c>
      <c r="K74" s="2126" t="e">
        <f>'[1]Permbledhsja dhe Institucionet '!P79</f>
        <v>#REF!</v>
      </c>
      <c r="L74" s="2127" t="e">
        <f>'[1]Permbledhsja dhe Institucionet '!P80</f>
        <v>#REF!</v>
      </c>
      <c r="M74" s="2128" t="e">
        <f>'[1]Permbledhsja dhe Institucionet '!P81</f>
        <v>#REF!</v>
      </c>
      <c r="N74" s="2128" t="e">
        <f>'[1]Permbledhsja dhe Institucionet '!P82</f>
        <v>#REF!</v>
      </c>
      <c r="O74" s="2125" t="e">
        <f>'[1]Pagat 2020 Limite mujore'!F75</f>
        <v>#REF!</v>
      </c>
      <c r="P74" s="2125" t="e">
        <f>'[1]601 2019 Limite mujore'!I75</f>
        <v>#REF!</v>
      </c>
      <c r="Q74" s="2124" t="e">
        <f>'[1]602  2019 Shpenz op limit mujor'!F72</f>
        <v>#REF!</v>
      </c>
      <c r="R74" s="2128" t="e">
        <f>'[1]Investimet 2019'!F72</f>
        <v>#REF!</v>
      </c>
      <c r="S74" s="2111" t="e">
        <f>'[1]606  2018 Shp per ind lim mujor'!F72</f>
        <v>#REF!</v>
      </c>
      <c r="T74" s="2126" t="e">
        <f>'[1]Permbledhsja dhe Institucionet '!Q86</f>
        <v>#REF!</v>
      </c>
      <c r="U74" s="2129" t="e">
        <f>'[1]Permbledhsja dhe Institucionet '!Q103</f>
        <v>#REF!</v>
      </c>
      <c r="V74" s="2126" t="e">
        <f>'[1]Permbledhsja dhe Institucionet '!Q106</f>
        <v>#REF!</v>
      </c>
      <c r="W74" s="2129" t="e">
        <f>'[1]Permbledhsja dhe Institucionet '!Q184</f>
        <v>#REF!</v>
      </c>
      <c r="X74" s="2130" t="e">
        <f>'[1]Permbledhsja dhe Institucionet '!Q187</f>
        <v>#REF!</v>
      </c>
      <c r="Y74" s="2125" t="e">
        <f>'[1]Permbledhsja dhe Institucionet '!Q79</f>
        <v>#REF!</v>
      </c>
      <c r="Z74" s="2131" t="e">
        <f>'[1]Permbledhsja dhe Institucionet '!Q80</f>
        <v>#REF!</v>
      </c>
      <c r="AA74" s="2132" t="e">
        <f>'[1]Permbledhsja dhe Institucionet '!Q81</f>
        <v>#REF!</v>
      </c>
      <c r="AB74" s="2126" t="e">
        <f>'[1]Permbledhsja dhe Institucionet '!Q82</f>
        <v>#REF!</v>
      </c>
    </row>
    <row r="75" spans="1:28" ht="16.5">
      <c r="A75" s="2121">
        <v>4</v>
      </c>
      <c r="B75" s="2122" t="e">
        <f>'[1]Pagat 2020 Limite mujore'!B76</f>
        <v>#REF!</v>
      </c>
      <c r="C75" s="2106" t="e">
        <f t="shared" si="4"/>
        <v>#REF!</v>
      </c>
      <c r="D75" s="2123" t="e">
        <f t="shared" si="2"/>
        <v>#REF!</v>
      </c>
      <c r="E75" s="2108" t="e">
        <f t="shared" si="3"/>
        <v>#REF!</v>
      </c>
      <c r="F75" s="2124" t="e">
        <f>'[1]Pagat 2020 Limite mujore'!S76</f>
        <v>#REF!</v>
      </c>
      <c r="G75" s="2125" t="e">
        <f>'[1]601 2019 Limite mujore'!V76</f>
        <v>#REF!</v>
      </c>
      <c r="H75" s="2124" t="e">
        <f>'[1]602  2019 Shpenz op limit mujor'!S73</f>
        <v>#REF!</v>
      </c>
      <c r="I75" s="2125" t="e">
        <f>'[1]Investimet 2019'!S73</f>
        <v>#REF!</v>
      </c>
      <c r="J75" s="2111" t="e">
        <f>'[1]606  2018 Shp per ind lim mujor'!S73</f>
        <v>#REF!</v>
      </c>
      <c r="K75" s="2126" t="e">
        <f>'[1]Permbledhsja dhe Institucionet '!R79</f>
        <v>#REF!</v>
      </c>
      <c r="L75" s="2127" t="e">
        <f>'[1]Permbledhsja dhe Institucionet '!R80</f>
        <v>#REF!</v>
      </c>
      <c r="M75" s="2128" t="e">
        <f>'[1]Permbledhsja dhe Institucionet '!R81</f>
        <v>#REF!</v>
      </c>
      <c r="N75" s="2128" t="e">
        <f>'[1]Permbledhsja dhe Institucionet '!R82</f>
        <v>#REF!</v>
      </c>
      <c r="O75" s="2125" t="e">
        <f>'[1]Pagat 2020 Limite mujore'!F76</f>
        <v>#REF!</v>
      </c>
      <c r="P75" s="2125" t="e">
        <f>'[1]601 2019 Limite mujore'!I76</f>
        <v>#REF!</v>
      </c>
      <c r="Q75" s="2124" t="e">
        <f>'[1]602  2019 Shpenz op limit mujor'!F73</f>
        <v>#REF!</v>
      </c>
      <c r="R75" s="2128" t="e">
        <f>'[1]Investimet 2019'!F73</f>
        <v>#REF!</v>
      </c>
      <c r="S75" s="2111" t="e">
        <f>'[1]606  2018 Shp per ind lim mujor'!F73</f>
        <v>#REF!</v>
      </c>
      <c r="T75" s="2126" t="e">
        <f>'[1]Permbledhsja dhe Institucionet '!S86</f>
        <v>#REF!</v>
      </c>
      <c r="U75" s="2129" t="e">
        <f>'[1]Permbledhsja dhe Institucionet '!S103</f>
        <v>#REF!</v>
      </c>
      <c r="V75" s="2126" t="e">
        <f>'[1]Permbledhsja dhe Institucionet '!S106</f>
        <v>#REF!</v>
      </c>
      <c r="W75" s="2129" t="e">
        <f>'[1]Permbledhsja dhe Institucionet '!Q184</f>
        <v>#REF!</v>
      </c>
      <c r="X75" s="2130" t="e">
        <f>'[1]Permbledhsja dhe Institucionet '!S187</f>
        <v>#REF!</v>
      </c>
      <c r="Y75" s="2125" t="e">
        <f>'[1]Permbledhsja dhe Institucionet '!S79</f>
        <v>#REF!</v>
      </c>
      <c r="Z75" s="2131" t="e">
        <f>'[1]Permbledhsja dhe Institucionet '!S80</f>
        <v>#REF!</v>
      </c>
      <c r="AA75" s="2132" t="e">
        <f>'[1]Permbledhsja dhe Institucionet '!S81</f>
        <v>#REF!</v>
      </c>
      <c r="AB75" s="2126" t="e">
        <f>'[1]Permbledhsja dhe Institucionet '!S82</f>
        <v>#REF!</v>
      </c>
    </row>
    <row r="76" spans="1:28" ht="16.5">
      <c r="A76" s="2104">
        <v>5</v>
      </c>
      <c r="B76" s="2122" t="e">
        <f>'[1]Pagat 2020 Limite mujore'!B77</f>
        <v>#REF!</v>
      </c>
      <c r="C76" s="2106" t="e">
        <f t="shared" si="4"/>
        <v>#REF!</v>
      </c>
      <c r="D76" s="2123" t="e">
        <f t="shared" si="2"/>
        <v>#REF!</v>
      </c>
      <c r="E76" s="2108" t="e">
        <f t="shared" si="3"/>
        <v>#REF!</v>
      </c>
      <c r="F76" s="2124" t="e">
        <f>'[1]Pagat 2020 Limite mujore'!S77</f>
        <v>#REF!</v>
      </c>
      <c r="G76" s="2125" t="e">
        <f>'[1]601 2019 Limite mujore'!V77</f>
        <v>#REF!</v>
      </c>
      <c r="H76" s="2124" t="e">
        <f>'[1]602  2019 Shpenz op limit mujor'!S74</f>
        <v>#REF!</v>
      </c>
      <c r="I76" s="2125" t="e">
        <f>'[1]Investimet 2019'!S74</f>
        <v>#REF!</v>
      </c>
      <c r="J76" s="2111" t="e">
        <f>'[1]606  2018 Shp per ind lim mujor'!S74</f>
        <v>#REF!</v>
      </c>
      <c r="K76" s="2126" t="e">
        <f>'[1]Permbledhsja dhe Institucionet '!T79</f>
        <v>#REF!</v>
      </c>
      <c r="L76" s="2127" t="e">
        <f>'[1]Permbledhsja dhe Institucionet '!T80</f>
        <v>#REF!</v>
      </c>
      <c r="M76" s="2128" t="e">
        <f>'[1]Permbledhsja dhe Institucionet '!T81</f>
        <v>#REF!</v>
      </c>
      <c r="N76" s="2128" t="e">
        <f>'[1]Permbledhsja dhe Institucionet '!T82</f>
        <v>#REF!</v>
      </c>
      <c r="O76" s="2125" t="e">
        <f>'[1]Pagat 2020 Limite mujore'!F77</f>
        <v>#REF!</v>
      </c>
      <c r="P76" s="2125" t="e">
        <f>'[1]601 2019 Limite mujore'!I77</f>
        <v>#REF!</v>
      </c>
      <c r="Q76" s="2124" t="e">
        <f>'[1]602  2019 Shpenz op limit mujor'!F74</f>
        <v>#REF!</v>
      </c>
      <c r="R76" s="2128" t="e">
        <f>'[1]Investimet 2019'!F74</f>
        <v>#REF!</v>
      </c>
      <c r="S76" s="2111" t="e">
        <f>'[1]606  2018 Shp per ind lim mujor'!F74</f>
        <v>#REF!</v>
      </c>
      <c r="T76" s="2126" t="e">
        <f>'[1]Permbledhsja dhe Institucionet '!U86</f>
        <v>#REF!</v>
      </c>
      <c r="U76" s="2129" t="e">
        <f>'[1]Permbledhsja dhe Institucionet '!U103</f>
        <v>#REF!</v>
      </c>
      <c r="V76" s="2126" t="e">
        <f>'[1]Permbledhsja dhe Institucionet '!U106</f>
        <v>#REF!</v>
      </c>
      <c r="W76" s="2129" t="e">
        <f>'[1]Permbledhsja dhe Institucionet '!Q184</f>
        <v>#REF!</v>
      </c>
      <c r="X76" s="2130" t="e">
        <f>'[1]Permbledhsja dhe Institucionet '!U187</f>
        <v>#REF!</v>
      </c>
      <c r="Y76" s="2125" t="e">
        <f>'[1]Permbledhsja dhe Institucionet '!U79</f>
        <v>#REF!</v>
      </c>
      <c r="Z76" s="2131" t="e">
        <f>'[1]Permbledhsja dhe Institucionet '!U80</f>
        <v>#REF!</v>
      </c>
      <c r="AA76" s="2132" t="e">
        <f>'[1]Permbledhsja dhe Institucionet '!U81</f>
        <v>#REF!</v>
      </c>
      <c r="AB76" s="2126" t="e">
        <f>'[1]Permbledhsja dhe Institucionet '!U82</f>
        <v>#REF!</v>
      </c>
    </row>
    <row r="77" spans="1:28" ht="16.5">
      <c r="A77" s="2121">
        <v>6</v>
      </c>
      <c r="B77" s="2122" t="e">
        <f>'[1]Pagat 2020 Limite mujore'!B78</f>
        <v>#REF!</v>
      </c>
      <c r="C77" s="2106" t="e">
        <f t="shared" si="4"/>
        <v>#REF!</v>
      </c>
      <c r="D77" s="2123" t="e">
        <f t="shared" si="2"/>
        <v>#REF!</v>
      </c>
      <c r="E77" s="2108" t="e">
        <f t="shared" si="3"/>
        <v>#REF!</v>
      </c>
      <c r="F77" s="2133" t="e">
        <f>'[1]Pagat 2020 Limite mujore'!S78</f>
        <v>#REF!</v>
      </c>
      <c r="G77" s="2134" t="e">
        <f>'[1]601 2019 Limite mujore'!V78</f>
        <v>#REF!</v>
      </c>
      <c r="H77" s="2124" t="e">
        <f>'[1]602  2019 Shpenz op limit mujor'!S75</f>
        <v>#REF!</v>
      </c>
      <c r="I77" s="2134" t="e">
        <f>'[1]Investimet 2019'!S75</f>
        <v>#REF!</v>
      </c>
      <c r="J77" s="2111" t="e">
        <f>'[1]606  2018 Shp per ind lim mujor'!S75</f>
        <v>#REF!</v>
      </c>
      <c r="K77" s="2126" t="e">
        <f>'[1]Permbledhsja dhe Institucionet '!V79</f>
        <v>#REF!</v>
      </c>
      <c r="L77" s="2127" t="e">
        <f>'[1]Permbledhsja dhe Institucionet '!V80</f>
        <v>#REF!</v>
      </c>
      <c r="M77" s="2134" t="e">
        <f>'[1]Permbledhsja dhe Institucionet '!V81</f>
        <v>#REF!</v>
      </c>
      <c r="N77" s="2134" t="e">
        <f>'[1]Permbledhsja dhe Institucionet '!V82</f>
        <v>#REF!</v>
      </c>
      <c r="O77" s="2134" t="e">
        <f>'[1]Pagat 2020 Limite mujore'!F78</f>
        <v>#REF!</v>
      </c>
      <c r="P77" s="2125" t="e">
        <f>'[1]601 2019 Limite mujore'!I78</f>
        <v>#REF!</v>
      </c>
      <c r="Q77" s="2124" t="e">
        <f>'[1]602  2019 Shpenz op limit mujor'!F75</f>
        <v>#REF!</v>
      </c>
      <c r="R77" s="2128" t="e">
        <f>'[1]Investimet 2019'!F75</f>
        <v>#REF!</v>
      </c>
      <c r="S77" s="2111" t="e">
        <f>'[1]606  2018 Shp per ind lim mujor'!F75</f>
        <v>#REF!</v>
      </c>
      <c r="T77" s="2126" t="e">
        <f>'[1]Permbledhsja dhe Institucionet '!W86</f>
        <v>#REF!</v>
      </c>
      <c r="U77" s="2129" t="e">
        <f>'[1]Permbledhsja dhe Institucionet '!W103</f>
        <v>#REF!</v>
      </c>
      <c r="V77" s="2126" t="e">
        <f>'[1]Permbledhsja dhe Institucionet '!W106</f>
        <v>#REF!</v>
      </c>
      <c r="W77" s="2129" t="e">
        <f>'[1]Permbledhsja dhe Institucionet '!Q184</f>
        <v>#REF!</v>
      </c>
      <c r="X77" s="2130" t="e">
        <f>'[1]Permbledhsja dhe Institucionet '!W187</f>
        <v>#REF!</v>
      </c>
      <c r="Y77" s="2134" t="e">
        <f>'[1]Permbledhsja dhe Institucionet '!W79</f>
        <v>#REF!</v>
      </c>
      <c r="Z77" s="2135" t="e">
        <f>'[1]Permbledhsja dhe Institucionet '!W80</f>
        <v>#REF!</v>
      </c>
      <c r="AA77" s="2132" t="e">
        <f>'[1]Permbledhsja dhe Institucionet '!W81</f>
        <v>#REF!</v>
      </c>
      <c r="AB77" s="2126" t="e">
        <f>'[1]Permbledhsja dhe Institucionet '!W82</f>
        <v>#REF!</v>
      </c>
    </row>
    <row r="78" spans="1:28" ht="16.5">
      <c r="A78" s="2104">
        <v>7</v>
      </c>
      <c r="B78" s="2136" t="s">
        <v>2738</v>
      </c>
      <c r="C78" s="2106" t="e">
        <f t="shared" si="4"/>
        <v>#REF!</v>
      </c>
      <c r="D78" s="2123" t="e">
        <f t="shared" si="2"/>
        <v>#REF!</v>
      </c>
      <c r="E78" s="2108" t="e">
        <f t="shared" si="3"/>
        <v>#REF!</v>
      </c>
      <c r="F78" s="2124" t="e">
        <f>'[1]Pagat 2020 Limite mujore'!S79</f>
        <v>#REF!</v>
      </c>
      <c r="G78" s="2125" t="e">
        <f>'[1]601 2019 Limite mujore'!V79</f>
        <v>#REF!</v>
      </c>
      <c r="H78" s="2124" t="e">
        <f>'[1]602  2019 Shpenz op limit mujor'!S76</f>
        <v>#REF!</v>
      </c>
      <c r="I78" s="2134" t="e">
        <f>'[1]Investimet 2019'!S76</f>
        <v>#REF!</v>
      </c>
      <c r="J78" s="2111" t="e">
        <f>'[1]606  2018 Shp per ind lim mujor'!S76</f>
        <v>#REF!</v>
      </c>
      <c r="K78" s="2126" t="e">
        <f>'[1]Permbledhsja dhe Institucionet '!X79</f>
        <v>#REF!</v>
      </c>
      <c r="L78" s="2127" t="e">
        <f>'[1]Permbledhsja dhe Institucionet '!X80</f>
        <v>#REF!</v>
      </c>
      <c r="M78" s="2134" t="e">
        <f>'[1]Permbledhsja dhe Institucionet '!X81</f>
        <v>#REF!</v>
      </c>
      <c r="N78" s="2134" t="e">
        <f>'[1]Permbledhsja dhe Institucionet '!X82</f>
        <v>#REF!</v>
      </c>
      <c r="O78" s="2125" t="e">
        <f>'[1]Pagat 2020 Limite mujore'!F79</f>
        <v>#REF!</v>
      </c>
      <c r="P78" s="2125" t="e">
        <f>'[1]601 2019 Limite mujore'!I79</f>
        <v>#REF!</v>
      </c>
      <c r="Q78" s="2124" t="e">
        <f>'[1]602  2019 Shpenz op limit mujor'!F76</f>
        <v>#REF!</v>
      </c>
      <c r="R78" s="2128" t="e">
        <f>'[1]Investimet 2019'!F76</f>
        <v>#REF!</v>
      </c>
      <c r="S78" s="2111" t="e">
        <f>'[1]606  2018 Shp per ind lim mujor'!F76</f>
        <v>#REF!</v>
      </c>
      <c r="T78" s="2126" t="e">
        <f>'[1]Permbledhsja dhe Institucionet '!Y86</f>
        <v>#REF!</v>
      </c>
      <c r="U78" s="2129" t="e">
        <f>'[1]Permbledhsja dhe Institucionet '!Y103</f>
        <v>#REF!</v>
      </c>
      <c r="V78" s="2126" t="e">
        <f>'[1]Permbledhsja dhe Institucionet '!Y106</f>
        <v>#REF!</v>
      </c>
      <c r="W78" s="2129" t="e">
        <f>'[1]Permbledhsja dhe Institucionet '!Q184</f>
        <v>#REF!</v>
      </c>
      <c r="X78" s="2130" t="e">
        <f>'[1]Permbledhsja dhe Institucionet '!Y187</f>
        <v>#REF!</v>
      </c>
      <c r="Y78" s="2121" t="e">
        <f>'[1]Permbledhsja dhe Institucionet '!Y79</f>
        <v>#REF!</v>
      </c>
      <c r="Z78" s="2137" t="e">
        <f>'[1]Permbledhsja dhe Institucionet '!Y80</f>
        <v>#REF!</v>
      </c>
      <c r="AA78" s="2132" t="e">
        <f>'[1]Permbledhsja dhe Institucionet '!Y81</f>
        <v>#REF!</v>
      </c>
      <c r="AB78" s="2126" t="e">
        <f>'[1]Permbledhsja dhe Institucionet '!Y82</f>
        <v>#REF!</v>
      </c>
    </row>
    <row r="79" spans="1:28" ht="16.5">
      <c r="A79" s="2121">
        <v>8</v>
      </c>
      <c r="B79" s="2122" t="e">
        <f>'[1]Pagat 2020 Limite mujore'!B80</f>
        <v>#REF!</v>
      </c>
      <c r="C79" s="2106" t="e">
        <f t="shared" si="4"/>
        <v>#REF!</v>
      </c>
      <c r="D79" s="2123" t="e">
        <f t="shared" si="2"/>
        <v>#REF!</v>
      </c>
      <c r="E79" s="2108" t="e">
        <f t="shared" si="3"/>
        <v>#REF!</v>
      </c>
      <c r="F79" s="2124" t="e">
        <f>'[1]Pagat 2020 Limite mujore'!S80</f>
        <v>#REF!</v>
      </c>
      <c r="G79" s="2125" t="e">
        <f>'[1]601 2019 Limite mujore'!V80</f>
        <v>#REF!</v>
      </c>
      <c r="H79" s="2124" t="e">
        <f>'[1]602  2019 Shpenz op limit mujor'!S77</f>
        <v>#REF!</v>
      </c>
      <c r="I79" s="2125" t="e">
        <f>'[1]Investimet 2019'!S76</f>
        <v>#REF!</v>
      </c>
      <c r="J79" s="2111" t="e">
        <f>'[1]606  2018 Shp per ind lim mujor'!S77</f>
        <v>#REF!</v>
      </c>
      <c r="K79" s="2126" t="e">
        <f>'[1]Permbledhsja dhe Institucionet '!Z79</f>
        <v>#REF!</v>
      </c>
      <c r="L79" s="2127" t="e">
        <f>'[1]Permbledhsja dhe Institucionet '!Z80</f>
        <v>#REF!</v>
      </c>
      <c r="M79" s="2128" t="e">
        <f>'[1]Permbledhsja dhe Institucionet '!Z81</f>
        <v>#REF!</v>
      </c>
      <c r="N79" s="2128" t="e">
        <f>'[1]Permbledhsja dhe Institucionet '!Z82</f>
        <v>#REF!</v>
      </c>
      <c r="O79" s="2125" t="e">
        <f>'[1]Pagat 2020 Limite mujore'!F80</f>
        <v>#REF!</v>
      </c>
      <c r="P79" s="2125" t="e">
        <f>'[1]601 2019 Limite mujore'!I80</f>
        <v>#REF!</v>
      </c>
      <c r="Q79" s="2124" t="e">
        <f>'[1]602  2019 Shpenz op limit mujor'!F77</f>
        <v>#REF!</v>
      </c>
      <c r="R79" s="2128" t="e">
        <f>'[1]Investimet 2019'!F77</f>
        <v>#REF!</v>
      </c>
      <c r="S79" s="2111" t="e">
        <f>'[1]606  2018 Shp per ind lim mujor'!F77</f>
        <v>#REF!</v>
      </c>
      <c r="T79" s="2126" t="e">
        <f>'[1]Permbledhsja dhe Institucionet '!AA86</f>
        <v>#REF!</v>
      </c>
      <c r="U79" s="2129" t="e">
        <f>'[1]Permbledhsja dhe Institucionet '!AA103</f>
        <v>#REF!</v>
      </c>
      <c r="V79" s="2126" t="e">
        <f>'[1]Permbledhsja dhe Institucionet '!AA106</f>
        <v>#REF!</v>
      </c>
      <c r="W79" s="2129" t="e">
        <f>'[1]Permbledhsja dhe Institucionet '!Q184</f>
        <v>#REF!</v>
      </c>
      <c r="X79" s="2130" t="e">
        <f>'[1]Permbledhsja dhe Institucionet '!AA187</f>
        <v>#REF!</v>
      </c>
      <c r="Y79" s="2125" t="e">
        <f>'[1]Permbledhsja dhe Institucionet '!AA79</f>
        <v>#REF!</v>
      </c>
      <c r="Z79" s="2131" t="e">
        <f>'[1]Permbledhsja dhe Institucionet '!AA80</f>
        <v>#REF!</v>
      </c>
      <c r="AA79" s="2132" t="e">
        <f>'[1]Permbledhsja dhe Institucionet '!AA81</f>
        <v>#REF!</v>
      </c>
      <c r="AB79" s="2126" t="e">
        <f>'[1]Permbledhsja dhe Institucionet '!AA82</f>
        <v>#REF!</v>
      </c>
    </row>
    <row r="80" spans="1:28" ht="17.25" thickBot="1">
      <c r="A80" s="2104">
        <v>9</v>
      </c>
      <c r="B80" s="2138" t="e">
        <f>'[1]Pagat 2020 Limite mujore'!B81</f>
        <v>#REF!</v>
      </c>
      <c r="C80" s="2106" t="e">
        <f t="shared" si="4"/>
        <v>#REF!</v>
      </c>
      <c r="D80" s="2139" t="e">
        <f t="shared" si="2"/>
        <v>#REF!</v>
      </c>
      <c r="E80" s="2108" t="e">
        <f t="shared" si="3"/>
        <v>#REF!</v>
      </c>
      <c r="F80" s="2140" t="e">
        <f>'[1]Pagat 2020 Limite mujore'!S81</f>
        <v>#REF!</v>
      </c>
      <c r="G80" s="2141" t="e">
        <f>'[1]601 2019 Limite mujore'!V81</f>
        <v>#REF!</v>
      </c>
      <c r="H80" s="2124" t="e">
        <f>'[1]602  2019 Shpenz op limit mujor'!S78</f>
        <v>#REF!</v>
      </c>
      <c r="I80" s="2141" t="e">
        <f>'[1]Investimet 2019'!S77</f>
        <v>#REF!</v>
      </c>
      <c r="J80" s="2111" t="e">
        <f>'[1]606  2018 Shp per ind lim mujor'!S78</f>
        <v>#REF!</v>
      </c>
      <c r="K80" s="2126" t="e">
        <f>'[1]Permbledhsja dhe Institucionet '!AB79</f>
        <v>#REF!</v>
      </c>
      <c r="L80" s="2127" t="e">
        <f>'[1]Permbledhsja dhe Institucionet '!AB80</f>
        <v>#REF!</v>
      </c>
      <c r="M80" s="2142" t="e">
        <f>'[1]Permbledhsja dhe Institucionet '!AB81</f>
        <v>#REF!</v>
      </c>
      <c r="N80" s="2142" t="e">
        <f>'[1]Permbledhsja dhe Institucionet '!AB82</f>
        <v>#REF!</v>
      </c>
      <c r="O80" s="2141" t="e">
        <f>'[1]Pagat 2020 Limite mujore'!F81</f>
        <v>#REF!</v>
      </c>
      <c r="P80" s="2141" t="e">
        <f>'[1]601 2019 Limite mujore'!I81</f>
        <v>#REF!</v>
      </c>
      <c r="Q80" s="2140" t="e">
        <f>'[1]602  2019 Shpenz op limit mujor'!F78</f>
        <v>#REF!</v>
      </c>
      <c r="R80" s="2128" t="e">
        <f>'[1]Investimet 2019'!F78</f>
        <v>#REF!</v>
      </c>
      <c r="S80" s="2111" t="e">
        <f>'[1]606  2018 Shp per ind lim mujor'!F78</f>
        <v>#REF!</v>
      </c>
      <c r="T80" s="2143" t="e">
        <f>'[1]Permbledhsja dhe Institucionet '!AC86</f>
        <v>#REF!</v>
      </c>
      <c r="U80" s="2144" t="e">
        <f>'[1]Permbledhsja dhe Institucionet '!AC103</f>
        <v>#REF!</v>
      </c>
      <c r="V80" s="2143" t="e">
        <f>'[1]Permbledhsja dhe Institucionet '!AC106</f>
        <v>#REF!</v>
      </c>
      <c r="W80" s="2145" t="e">
        <f>'[1]Permbledhsja dhe Institucionet '!Q184</f>
        <v>#REF!</v>
      </c>
      <c r="X80" s="2146" t="e">
        <f>'[1]Permbledhsja dhe Institucionet '!AC187</f>
        <v>#REF!</v>
      </c>
      <c r="Y80" s="2147" t="e">
        <f>'[1]Permbledhsja dhe Institucionet '!AC79</f>
        <v>#REF!</v>
      </c>
      <c r="Z80" s="2148" t="e">
        <f>'[1]Permbledhsja dhe Institucionet '!AC80</f>
        <v>#REF!</v>
      </c>
      <c r="AA80" s="2149" t="e">
        <f>'[1]Permbledhsja dhe Institucionet '!AC81</f>
        <v>#REF!</v>
      </c>
      <c r="AB80" s="2150" t="e">
        <f>'[1]Permbledhsja dhe Institucionet '!AC82</f>
        <v>#REF!</v>
      </c>
    </row>
    <row r="81" spans="1:28" ht="17.25" thickBot="1">
      <c r="A81" s="2151"/>
      <c r="B81" s="2152" t="s">
        <v>2739</v>
      </c>
      <c r="C81" s="2153" t="e">
        <f>SUM(C72:C80)</f>
        <v>#REF!</v>
      </c>
      <c r="D81" s="2153" t="e">
        <f>SUM(D72:D80)</f>
        <v>#REF!</v>
      </c>
      <c r="E81" s="2153" t="e">
        <f>SUM(E72:E80)</f>
        <v>#REF!</v>
      </c>
      <c r="F81" s="2153" t="e">
        <f t="shared" ref="F81:X81" si="5">SUM(F72:F80)</f>
        <v>#REF!</v>
      </c>
      <c r="G81" s="2153" t="e">
        <f t="shared" si="5"/>
        <v>#REF!</v>
      </c>
      <c r="H81" s="2153" t="e">
        <f t="shared" si="5"/>
        <v>#REF!</v>
      </c>
      <c r="I81" s="2153" t="e">
        <f t="shared" si="5"/>
        <v>#REF!</v>
      </c>
      <c r="J81" s="2153" t="e">
        <f t="shared" si="5"/>
        <v>#REF!</v>
      </c>
      <c r="K81" s="2153" t="e">
        <f t="shared" si="5"/>
        <v>#REF!</v>
      </c>
      <c r="L81" s="2153" t="e">
        <f t="shared" si="5"/>
        <v>#REF!</v>
      </c>
      <c r="M81" s="2153" t="e">
        <f t="shared" si="5"/>
        <v>#REF!</v>
      </c>
      <c r="N81" s="2153"/>
      <c r="O81" s="2153" t="e">
        <f t="shared" si="5"/>
        <v>#REF!</v>
      </c>
      <c r="P81" s="2153" t="e">
        <f t="shared" si="5"/>
        <v>#REF!</v>
      </c>
      <c r="Q81" s="2153" t="e">
        <f t="shared" si="5"/>
        <v>#REF!</v>
      </c>
      <c r="R81" s="2153" t="e">
        <f t="shared" si="5"/>
        <v>#REF!</v>
      </c>
      <c r="S81" s="2153" t="e">
        <f t="shared" si="5"/>
        <v>#REF!</v>
      </c>
      <c r="T81" s="2153" t="e">
        <f t="shared" si="5"/>
        <v>#REF!</v>
      </c>
      <c r="U81" s="2153" t="e">
        <f t="shared" si="5"/>
        <v>#REF!</v>
      </c>
      <c r="V81" s="2153" t="e">
        <f t="shared" si="5"/>
        <v>#REF!</v>
      </c>
      <c r="W81" s="2153" t="e">
        <f t="shared" si="5"/>
        <v>#REF!</v>
      </c>
      <c r="X81" s="2153" t="e">
        <f t="shared" si="5"/>
        <v>#REF!</v>
      </c>
      <c r="Y81" s="2153" t="e">
        <f>SUM(Y72:Y80)</f>
        <v>#REF!</v>
      </c>
      <c r="Z81" s="2153" t="e">
        <f>SUM(Z72:Z80)</f>
        <v>#REF!</v>
      </c>
      <c r="AA81" s="2153" t="e">
        <f>SUM(AA72:AA80)</f>
        <v>#REF!</v>
      </c>
      <c r="AB81" s="2153" t="e">
        <f>SUM(AB72:AB80)</f>
        <v>#REF!</v>
      </c>
    </row>
    <row r="82" spans="1:28" ht="16.5">
      <c r="A82" s="2104">
        <v>10</v>
      </c>
      <c r="B82" s="2105" t="e">
        <f>'[1]Pagat 2020 Limite mujore'!B82</f>
        <v>#REF!</v>
      </c>
      <c r="C82" s="2154" t="e">
        <f>SUM(F82:M82)</f>
        <v>#REF!</v>
      </c>
      <c r="D82" s="2107" t="e">
        <f>SUM(O82:S82)</f>
        <v>#REF!</v>
      </c>
      <c r="E82" s="2108" t="e">
        <f>T82+U82+V82+W82+X82</f>
        <v>#REF!</v>
      </c>
      <c r="F82" s="2109" t="e">
        <f>'[1]Pagat 2020 Limite mujore'!S82</f>
        <v>#REF!</v>
      </c>
      <c r="G82" s="2110" t="e">
        <f>'[1]601 2019 Limite mujore'!V82</f>
        <v>#REF!</v>
      </c>
      <c r="H82" s="2109" t="e">
        <f>'[1]602  2019 Shpenz op limit mujor'!S79</f>
        <v>#REF!</v>
      </c>
      <c r="I82" s="2110" t="e">
        <f>'[1]Investimet 2019'!S79</f>
        <v>#REF!</v>
      </c>
      <c r="J82" s="2111" t="e">
        <f>'[1]606  2018 Shp per ind lim mujor'!S79</f>
        <v>#REF!</v>
      </c>
      <c r="K82" s="2126" t="e">
        <f>'[1]Permbledhsja dhe Institucionet '!AD79</f>
        <v>#REF!</v>
      </c>
      <c r="L82" s="2155" t="e">
        <f>'[1]Permbledhsja dhe Institucionet '!AD80</f>
        <v>#REF!</v>
      </c>
      <c r="M82" s="2111" t="e">
        <f>'[1]Permbledhsja dhe Institucionet '!AD81</f>
        <v>#REF!</v>
      </c>
      <c r="N82" s="2111" t="e">
        <f>'[1]Permbledhsja dhe Institucionet '!AD82</f>
        <v>#REF!</v>
      </c>
      <c r="O82" s="2155" t="e">
        <f>'[1]Pagat 2020 Limite mujore'!F82</f>
        <v>#REF!</v>
      </c>
      <c r="P82" s="2110" t="e">
        <f>'[1]601 2019 Limite mujore'!I82</f>
        <v>#REF!</v>
      </c>
      <c r="Q82" s="2109" t="e">
        <f>'[1]602  2019 Shpenz op limit mujor'!F79</f>
        <v>#REF!</v>
      </c>
      <c r="R82" s="2111" t="e">
        <f>'[1]Investimet 2019'!F78</f>
        <v>#REF!</v>
      </c>
      <c r="S82" s="2111" t="e">
        <f>'[1]606  2018 Shp per ind lim mujor'!F79</f>
        <v>#REF!</v>
      </c>
      <c r="T82" s="2112" t="e">
        <f>'[1]Permbledhsja dhe Institucionet '!AE86</f>
        <v>#REF!</v>
      </c>
      <c r="U82" s="2116" t="e">
        <f>'[1]Permbledhsja dhe Institucionet '!AE103</f>
        <v>#REF!</v>
      </c>
      <c r="V82" s="2112" t="e">
        <f>'[1]Permbledhsja dhe Institucionet '!AE106</f>
        <v>#REF!</v>
      </c>
      <c r="W82" s="2116"/>
      <c r="X82" s="2156" t="e">
        <f>'[1]Permbledhsja dhe Institucionet '!AE187</f>
        <v>#REF!</v>
      </c>
      <c r="Y82" s="2110" t="e">
        <f>'[1]Permbledhsja dhe Institucionet '!AE79</f>
        <v>#REF!</v>
      </c>
      <c r="Z82" s="2118" t="e">
        <f>'[1]Permbledhsja dhe Institucionet '!AE80</f>
        <v>#REF!</v>
      </c>
      <c r="AA82" s="2119" t="e">
        <f>'[1]Permbledhsja dhe Institucionet '!AE81</f>
        <v>#REF!</v>
      </c>
      <c r="AB82" s="2120" t="e">
        <f>'[1]Permbledhsja dhe Institucionet '!AE82</f>
        <v>#REF!</v>
      </c>
    </row>
    <row r="83" spans="1:28" ht="16.5">
      <c r="A83" s="2121">
        <v>11</v>
      </c>
      <c r="B83" s="2122" t="e">
        <f>'[1]Pagat 2020 Limite mujore'!B83</f>
        <v>#REF!</v>
      </c>
      <c r="C83" s="2154" t="e">
        <f>SUM(F83:M83)</f>
        <v>#REF!</v>
      </c>
      <c r="D83" s="2123" t="e">
        <f>SUM(O83:S83)</f>
        <v>#REF!</v>
      </c>
      <c r="E83" s="2108" t="e">
        <f>T83+U83+V83+W83+X83</f>
        <v>#REF!</v>
      </c>
      <c r="F83" s="2124" t="e">
        <f>'[1]Pagat 2020 Limite mujore'!S83</f>
        <v>#REF!</v>
      </c>
      <c r="G83" s="2125" t="e">
        <f>'[1]601 2019 Limite mujore'!V83</f>
        <v>#REF!</v>
      </c>
      <c r="H83" s="2124" t="e">
        <f>'[1]602  2019 Shpenz op limit mujor'!S80</f>
        <v>#REF!</v>
      </c>
      <c r="I83" s="2125" t="e">
        <f>'[1]Investimet 2019'!S80</f>
        <v>#REF!</v>
      </c>
      <c r="J83" s="2111" t="e">
        <f>'[1]606  2018 Shp per ind lim mujor'!S80</f>
        <v>#REF!</v>
      </c>
      <c r="K83" s="2120" t="e">
        <f>'[1]Permbledhsja dhe Institucionet '!AF79</f>
        <v>#REF!</v>
      </c>
      <c r="L83" s="2157" t="e">
        <f>'[1]Permbledhsja dhe Institucionet '!AF80</f>
        <v>#REF!</v>
      </c>
      <c r="M83" s="2128" t="e">
        <f>'[1]Permbledhsja dhe Institucionet '!AF81</f>
        <v>#REF!</v>
      </c>
      <c r="N83" s="2111" t="e">
        <f>'[1]Permbledhsja dhe Institucionet '!AF82</f>
        <v>#REF!</v>
      </c>
      <c r="O83" s="2155" t="e">
        <f>'[1]Pagat 2020 Limite mujore'!F83</f>
        <v>#REF!</v>
      </c>
      <c r="P83" s="2110" t="e">
        <f>'[1]601 2019 Limite mujore'!I83</f>
        <v>#REF!</v>
      </c>
      <c r="Q83" s="2109" t="e">
        <f>'[1]602  2019 Shpenz op limit mujor'!F80</f>
        <v>#REF!</v>
      </c>
      <c r="R83" s="2111" t="e">
        <f>'[1]Investimet 2019'!F79</f>
        <v>#REF!</v>
      </c>
      <c r="S83" s="2111" t="e">
        <f>'[1]606  2018 Shp per ind lim mujor'!F80</f>
        <v>#REF!</v>
      </c>
      <c r="T83" s="2126" t="e">
        <f>'[1]Permbledhsja dhe Institucionet '!AG86</f>
        <v>#REF!</v>
      </c>
      <c r="U83" s="2129" t="e">
        <f>'[1]Permbledhsja dhe Institucionet '!AG103</f>
        <v>#REF!</v>
      </c>
      <c r="V83" s="2126" t="e">
        <f>'[1]Permbledhsja dhe Institucionet '!AG106</f>
        <v>#REF!</v>
      </c>
      <c r="W83" s="2126"/>
      <c r="X83" s="2127" t="e">
        <f>'[1]Permbledhsja dhe Institucionet '!AG187</f>
        <v>#REF!</v>
      </c>
      <c r="Y83" s="2125" t="e">
        <f>'[1]Permbledhsja dhe Institucionet '!AG79</f>
        <v>#REF!</v>
      </c>
      <c r="Z83" s="2131" t="e">
        <f>'[1]Permbledhsja dhe Institucionet '!AG80</f>
        <v>#REF!</v>
      </c>
      <c r="AA83" s="2119" t="e">
        <f>'[1]Permbledhsja dhe Institucionet '!AG81</f>
        <v>#REF!</v>
      </c>
      <c r="AB83" s="2120" t="e">
        <f>'[1]Permbledhsja dhe Institucionet '!AG82</f>
        <v>#REF!</v>
      </c>
    </row>
    <row r="84" spans="1:28" ht="16.5">
      <c r="A84" s="2104">
        <v>12</v>
      </c>
      <c r="B84" s="2122" t="e">
        <f>'[1]Pagat 2020 Limite mujore'!B84</f>
        <v>#REF!</v>
      </c>
      <c r="C84" s="2154" t="e">
        <f>SUM(F84:M84)</f>
        <v>#REF!</v>
      </c>
      <c r="D84" s="2123" t="e">
        <f>SUM(O84:S84)</f>
        <v>#REF!</v>
      </c>
      <c r="E84" s="2108" t="e">
        <f>T84+U84+V84+W84+X84</f>
        <v>#REF!</v>
      </c>
      <c r="F84" s="2133" t="e">
        <f>'[1]Pagat 2020 Limite mujore'!S84</f>
        <v>#REF!</v>
      </c>
      <c r="G84" s="2134" t="e">
        <f>'[1]601 2019 Limite mujore'!V84</f>
        <v>#REF!</v>
      </c>
      <c r="H84" s="2133" t="e">
        <f>'[1]602  2019 Shpenz op limit mujor'!S81</f>
        <v>#REF!</v>
      </c>
      <c r="I84" s="2134" t="e">
        <f>'[1]Investimet 2019'!S81</f>
        <v>#REF!</v>
      </c>
      <c r="J84" s="2111" t="e">
        <f>'[1]606  2018 Shp per ind lim mujor'!S81</f>
        <v>#REF!</v>
      </c>
      <c r="K84" s="2126" t="e">
        <f>'[1]Permbledhsja dhe Institucionet '!AH79</f>
        <v>#REF!</v>
      </c>
      <c r="L84" s="2130" t="e">
        <f>'[1]Permbledhsja dhe Institucionet '!AH80</f>
        <v>#REF!</v>
      </c>
      <c r="M84" s="2134" t="e">
        <f>'[1]Permbledhsja dhe Institucionet '!AH81</f>
        <v>#REF!</v>
      </c>
      <c r="N84" s="2158" t="e">
        <f>'[1]Permbledhsja dhe Institucionet '!AH82</f>
        <v>#REF!</v>
      </c>
      <c r="O84" s="2155" t="e">
        <f>'[1]Pagat 2020 Limite mujore'!F84</f>
        <v>#REF!</v>
      </c>
      <c r="P84" s="2110" t="e">
        <f>'[1]601 2019 Limite mujore'!I84</f>
        <v>#REF!</v>
      </c>
      <c r="Q84" s="2109" t="e">
        <f>'[1]602  2019 Shpenz op limit mujor'!F81</f>
        <v>#REF!</v>
      </c>
      <c r="R84" s="2111" t="e">
        <f>'[1]Investimet 2019'!F80</f>
        <v>#REF!</v>
      </c>
      <c r="S84" s="2111" t="e">
        <f>'[1]606  2018 Shp per ind lim mujor'!F81</f>
        <v>#REF!</v>
      </c>
      <c r="T84" s="2126" t="e">
        <f>'[1]Permbledhsja dhe Institucionet '!AI86</f>
        <v>#REF!</v>
      </c>
      <c r="U84" s="2129" t="e">
        <f>'[1]Permbledhsja dhe Institucionet '!AI103</f>
        <v>#REF!</v>
      </c>
      <c r="V84" s="2126" t="e">
        <f>'[1]Permbledhsja dhe Institucionet '!AI106</f>
        <v>#REF!</v>
      </c>
      <c r="W84" s="2120"/>
      <c r="X84" s="2127" t="e">
        <f>'[1]Permbledhsja dhe Institucionet '!AI187</f>
        <v>#REF!</v>
      </c>
      <c r="Y84" s="2134" t="e">
        <f>'[1]Permbledhsja dhe Institucionet '!AI79</f>
        <v>#REF!</v>
      </c>
      <c r="Z84" s="2135" t="e">
        <f>'[1]Permbledhsja dhe Institucionet '!AI80</f>
        <v>#REF!</v>
      </c>
      <c r="AA84" s="2132" t="e">
        <f>'[1]Permbledhsja dhe Institucionet '!AI81</f>
        <v>#REF!</v>
      </c>
      <c r="AB84" s="2126" t="e">
        <f>'[1]Permbledhsja dhe Institucionet '!AI82</f>
        <v>#REF!</v>
      </c>
    </row>
    <row r="85" spans="1:28" ht="16.5">
      <c r="A85" s="2121">
        <v>13</v>
      </c>
      <c r="B85" s="2122" t="e">
        <f>'[1]Pagat 2020 Limite mujore'!B85</f>
        <v>#REF!</v>
      </c>
      <c r="C85" s="2154" t="e">
        <f>SUM(F85:M85)</f>
        <v>#REF!</v>
      </c>
      <c r="D85" s="2123" t="e">
        <f>SUM(O85:S85)</f>
        <v>#REF!</v>
      </c>
      <c r="E85" s="2108" t="e">
        <f>T85+U85+V85+W85+X85</f>
        <v>#REF!</v>
      </c>
      <c r="F85" s="2124" t="e">
        <f>'[1]Pagat 2020 Limite mujore'!S85</f>
        <v>#REF!</v>
      </c>
      <c r="G85" s="2125" t="e">
        <f>'[1]601 2019 Limite mujore'!V85</f>
        <v>#REF!</v>
      </c>
      <c r="H85" s="2124" t="e">
        <f>'[1]602  2019 Shpenz op limit mujor'!S82</f>
        <v>#REF!</v>
      </c>
      <c r="I85" s="2125" t="e">
        <f>'[1]Investimet 2019'!S82</f>
        <v>#REF!</v>
      </c>
      <c r="J85" s="2111" t="e">
        <f>'[1]606  2018 Shp per ind lim mujor'!S82</f>
        <v>#REF!</v>
      </c>
      <c r="K85" s="2126" t="e">
        <f>'[1]Permbledhsja dhe Institucionet '!AJ79</f>
        <v>#REF!</v>
      </c>
      <c r="L85" s="2157" t="e">
        <f>'[1]Permbledhsja dhe Institucionet '!AJ80</f>
        <v>#REF!</v>
      </c>
      <c r="M85" s="2128" t="e">
        <f>'[1]Permbledhsja dhe Institucionet '!AJ81</f>
        <v>#REF!</v>
      </c>
      <c r="N85" s="2111" t="e">
        <f>'[1]Permbledhsja dhe Institucionet '!AJ82</f>
        <v>#REF!</v>
      </c>
      <c r="O85" s="2155" t="e">
        <f>'[1]Pagat 2020 Limite mujore'!F85</f>
        <v>#REF!</v>
      </c>
      <c r="P85" s="2110" t="e">
        <f>'[1]601 2019 Limite mujore'!I85</f>
        <v>#REF!</v>
      </c>
      <c r="Q85" s="2109" t="e">
        <f>'[1]602  2019 Shpenz op limit mujor'!F82</f>
        <v>#REF!</v>
      </c>
      <c r="R85" s="2111" t="e">
        <f>'[1]Investimet 2019'!F81</f>
        <v>#REF!</v>
      </c>
      <c r="S85" s="2111" t="e">
        <f>'[1]606  2018 Shp per ind lim mujor'!F82</f>
        <v>#REF!</v>
      </c>
      <c r="T85" s="2126" t="e">
        <f>'[1]Permbledhsja dhe Institucionet '!AK86</f>
        <v>#REF!</v>
      </c>
      <c r="U85" s="2129" t="e">
        <f>'[1]Permbledhsja dhe Institucionet '!AK103</f>
        <v>#REF!</v>
      </c>
      <c r="V85" s="2126" t="e">
        <f>'[1]Permbledhsja dhe Institucionet '!AK106</f>
        <v>#REF!</v>
      </c>
      <c r="W85" s="2126"/>
      <c r="X85" s="2127" t="e">
        <f>'[1]Permbledhsja dhe Institucionet '!AK187</f>
        <v>#REF!</v>
      </c>
      <c r="Y85" s="2125" t="e">
        <f>'[1]Permbledhsja dhe Institucionet '!AK79</f>
        <v>#REF!</v>
      </c>
      <c r="Z85" s="2131" t="e">
        <f>'[1]Permbledhsja dhe Institucionet '!AK80</f>
        <v>#REF!</v>
      </c>
      <c r="AA85" s="2132" t="e">
        <f>'[1]Permbledhsja dhe Institucionet '!AK81</f>
        <v>#REF!</v>
      </c>
      <c r="AB85" s="2126" t="e">
        <f>'[1]Permbledhsja dhe Institucionet '!AK82</f>
        <v>#REF!</v>
      </c>
    </row>
    <row r="86" spans="1:28" ht="17.25" thickBot="1">
      <c r="A86" s="2104">
        <v>14</v>
      </c>
      <c r="B86" s="2138" t="e">
        <f>'[1]Pagat 2020 Limite mujore'!B86</f>
        <v>#REF!</v>
      </c>
      <c r="C86" s="2154" t="e">
        <f>SUM(F86:M86)</f>
        <v>#REF!</v>
      </c>
      <c r="D86" s="2139" t="e">
        <f>SUM(O86:S86)</f>
        <v>#REF!</v>
      </c>
      <c r="E86" s="2108" t="e">
        <f>T86+U86+V86+W86+X86</f>
        <v>#REF!</v>
      </c>
      <c r="F86" s="2140" t="e">
        <f>'[1]Pagat 2020 Limite mujore'!S86</f>
        <v>#REF!</v>
      </c>
      <c r="G86" s="2141" t="e">
        <f>'[1]601 2019 Limite mujore'!V86</f>
        <v>#REF!</v>
      </c>
      <c r="H86" s="2140" t="e">
        <f>'[1]602  2019 Shpenz op limit mujor'!S83</f>
        <v>#REF!</v>
      </c>
      <c r="I86" s="2141" t="e">
        <f>'[1]Investimet 2019'!S83</f>
        <v>#REF!</v>
      </c>
      <c r="J86" s="2111" t="e">
        <f>'[1]606  2018 Shp per ind lim mujor'!S83</f>
        <v>#REF!</v>
      </c>
      <c r="K86" s="2126" t="e">
        <f>'[1]Permbledhsja dhe Institucionet '!AL79</f>
        <v>#REF!</v>
      </c>
      <c r="L86" s="2159" t="e">
        <f>'[1]Permbledhsja dhe Institucionet '!AL80</f>
        <v>#REF!</v>
      </c>
      <c r="M86" s="2142" t="e">
        <f>'[1]Permbledhsja dhe Institucionet '!AL81</f>
        <v>#REF!</v>
      </c>
      <c r="N86" s="2160" t="e">
        <f>'[1]Permbledhsja dhe Institucionet '!AL82</f>
        <v>#REF!</v>
      </c>
      <c r="O86" s="2161" t="e">
        <f>'[1]Pagat 2020 Limite mujore'!F86</f>
        <v>#REF!</v>
      </c>
      <c r="P86" s="2162" t="e">
        <f>'[1]601 2019 Limite mujore'!I86</f>
        <v>#REF!</v>
      </c>
      <c r="Q86" s="2163" t="e">
        <f>'[1]602  2019 Shpenz op limit mujor'!F83</f>
        <v>#REF!</v>
      </c>
      <c r="R86" s="2111" t="e">
        <f>'[1]Investimet 2019'!F82</f>
        <v>#REF!</v>
      </c>
      <c r="S86" s="2111" t="e">
        <f>'[1]606  2018 Shp per ind lim mujor'!F83</f>
        <v>#REF!</v>
      </c>
      <c r="T86" s="2143" t="e">
        <f>'[1]Permbledhsja dhe Institucionet '!AM86</f>
        <v>#REF!</v>
      </c>
      <c r="U86" s="2129" t="e">
        <f>'[1]Permbledhsja dhe Institucionet '!AM103</f>
        <v>#REF!</v>
      </c>
      <c r="V86" s="2143" t="e">
        <f>'[1]Permbledhsja dhe Institucionet '!AM106</f>
        <v>#REF!</v>
      </c>
      <c r="W86" s="2126"/>
      <c r="X86" s="2164" t="e">
        <f>'[1]Permbledhsja dhe Institucionet '!AM187</f>
        <v>#REF!</v>
      </c>
      <c r="Y86" s="2141" t="e">
        <f>'[1]Permbledhsja dhe Institucionet '!AM79</f>
        <v>#REF!</v>
      </c>
      <c r="Z86" s="2165" t="e">
        <f>'[1]Permbledhsja dhe Institucionet '!AM80</f>
        <v>#REF!</v>
      </c>
      <c r="AA86" s="2149" t="e">
        <f>'[1]Permbledhsja dhe Institucionet '!AM81</f>
        <v>#REF!</v>
      </c>
      <c r="AB86" s="2150" t="e">
        <f>'[1]Permbledhsja dhe Institucionet '!AM82</f>
        <v>#REF!</v>
      </c>
    </row>
    <row r="87" spans="1:28" ht="17.25" thickBot="1">
      <c r="A87" s="2151"/>
      <c r="B87" s="2152" t="s">
        <v>2739</v>
      </c>
      <c r="C87" s="2153" t="e">
        <f>SUM(C82:C86)</f>
        <v>#REF!</v>
      </c>
      <c r="D87" s="2153" t="e">
        <f t="shared" ref="D87:X87" si="6">SUM(D82:D86)</f>
        <v>#REF!</v>
      </c>
      <c r="E87" s="2153" t="e">
        <f t="shared" si="6"/>
        <v>#REF!</v>
      </c>
      <c r="F87" s="2153" t="e">
        <f t="shared" si="6"/>
        <v>#REF!</v>
      </c>
      <c r="G87" s="2153" t="e">
        <f t="shared" si="6"/>
        <v>#REF!</v>
      </c>
      <c r="H87" s="2153" t="e">
        <f t="shared" si="6"/>
        <v>#REF!</v>
      </c>
      <c r="I87" s="2153" t="e">
        <f t="shared" si="6"/>
        <v>#REF!</v>
      </c>
      <c r="J87" s="2153" t="e">
        <f t="shared" si="6"/>
        <v>#REF!</v>
      </c>
      <c r="K87" s="2153" t="e">
        <f t="shared" si="6"/>
        <v>#REF!</v>
      </c>
      <c r="L87" s="2153" t="e">
        <f t="shared" si="6"/>
        <v>#REF!</v>
      </c>
      <c r="M87" s="2153" t="e">
        <f t="shared" si="6"/>
        <v>#REF!</v>
      </c>
      <c r="N87" s="2153" t="e">
        <f t="shared" si="6"/>
        <v>#REF!</v>
      </c>
      <c r="O87" s="2153" t="e">
        <f t="shared" si="6"/>
        <v>#REF!</v>
      </c>
      <c r="P87" s="2153" t="e">
        <f t="shared" si="6"/>
        <v>#REF!</v>
      </c>
      <c r="Q87" s="2153" t="e">
        <f t="shared" si="6"/>
        <v>#REF!</v>
      </c>
      <c r="R87" s="2153" t="e">
        <f t="shared" si="6"/>
        <v>#REF!</v>
      </c>
      <c r="S87" s="2153" t="e">
        <f t="shared" si="6"/>
        <v>#REF!</v>
      </c>
      <c r="T87" s="2153" t="e">
        <f t="shared" si="6"/>
        <v>#REF!</v>
      </c>
      <c r="U87" s="2153" t="e">
        <f t="shared" si="6"/>
        <v>#REF!</v>
      </c>
      <c r="V87" s="2153" t="e">
        <f t="shared" si="6"/>
        <v>#REF!</v>
      </c>
      <c r="W87" s="2153">
        <f t="shared" si="6"/>
        <v>0</v>
      </c>
      <c r="X87" s="2153" t="e">
        <f t="shared" si="6"/>
        <v>#REF!</v>
      </c>
      <c r="Y87" s="2153" t="e">
        <f>SUM(Y82:Y86)</f>
        <v>#REF!</v>
      </c>
      <c r="Z87" s="2153" t="e">
        <f>SUM(Z82:Z86)</f>
        <v>#REF!</v>
      </c>
      <c r="AA87" s="2153" t="e">
        <f>SUM(AA82:AA86)</f>
        <v>#REF!</v>
      </c>
      <c r="AB87" s="2153" t="e">
        <f>SUM(AB82:AB86)</f>
        <v>#REF!</v>
      </c>
    </row>
    <row r="88" spans="1:28" ht="16.5">
      <c r="A88" s="2104">
        <v>15</v>
      </c>
      <c r="B88" s="2166" t="e">
        <f>'[1]Pagat 2020 Limite mujore'!B87</f>
        <v>#REF!</v>
      </c>
      <c r="C88" s="2154" t="e">
        <f>SUM(F88:M88)</f>
        <v>#REF!</v>
      </c>
      <c r="D88" s="2107" t="e">
        <f t="shared" ref="D88:D95" si="7">SUM(O88:S88)</f>
        <v>#REF!</v>
      </c>
      <c r="E88" s="2108" t="e">
        <f t="shared" ref="E88:E95" si="8">T88+U88+V88+W88+X88</f>
        <v>#REF!</v>
      </c>
      <c r="F88" s="2109" t="e">
        <f>'[1]Pagat 2020 Limite mujore'!S87</f>
        <v>#REF!</v>
      </c>
      <c r="G88" s="2110" t="e">
        <f>'[1]601 2019 Limite mujore'!V87</f>
        <v>#REF!</v>
      </c>
      <c r="H88" s="2109" t="e">
        <f>'[1]602  2019 Shpenz op limit mujor'!S84</f>
        <v>#REF!</v>
      </c>
      <c r="I88" s="2110" t="e">
        <f>'[1]Investimet 2019'!S85</f>
        <v>#REF!</v>
      </c>
      <c r="J88" s="2111" t="e">
        <f>'[1]606  2018 Shp per ind lim mujor'!S84</f>
        <v>#REF!</v>
      </c>
      <c r="K88" s="2126" t="e">
        <f>'[1]Permbledhsja dhe Institucionet '!AN79</f>
        <v>#REF!</v>
      </c>
      <c r="L88" s="2155" t="e">
        <f>'[1]Permbledhsja dhe Institucionet '!AN80</f>
        <v>#REF!</v>
      </c>
      <c r="M88" s="2111" t="e">
        <f>'[1]Permbledhsja dhe Institucionet '!AN81</f>
        <v>#REF!</v>
      </c>
      <c r="N88" s="2111" t="e">
        <f>'[1]Permbledhsja dhe Institucionet '!AN82</f>
        <v>#REF!</v>
      </c>
      <c r="O88" s="2155" t="e">
        <f>'[1]Pagat 2020 Limite mujore'!F87</f>
        <v>#REF!</v>
      </c>
      <c r="P88" s="2110" t="e">
        <f>'[1]601 2019 Limite mujore'!I87</f>
        <v>#REF!</v>
      </c>
      <c r="Q88" s="2109" t="e">
        <f>'[1]602  2019 Shpenz op limit mujor'!F84</f>
        <v>#REF!</v>
      </c>
      <c r="R88" s="2111" t="e">
        <f>'[1]Investimet 2019'!F83</f>
        <v>#REF!</v>
      </c>
      <c r="S88" s="2111" t="e">
        <f>'[1]606  2018 Shp per ind lim mujor'!F84</f>
        <v>#REF!</v>
      </c>
      <c r="T88" s="2112" t="e">
        <f>'[1]Permbledhsja dhe Institucionet '!AO86</f>
        <v>#REF!</v>
      </c>
      <c r="U88" s="2116" t="e">
        <f>'[1]Permbledhsja dhe Institucionet '!AO103</f>
        <v>#REF!</v>
      </c>
      <c r="V88" s="2112" t="e">
        <f>'[1]Permbledhsja dhe Institucionet '!AO106</f>
        <v>#REF!</v>
      </c>
      <c r="W88" s="2126"/>
      <c r="X88" s="2156" t="e">
        <f>'[1]Permbledhsja dhe Institucionet '!AO187</f>
        <v>#REF!</v>
      </c>
      <c r="Y88" s="2104" t="e">
        <f>'[1]Permbledhsja dhe Institucionet '!AO79</f>
        <v>#REF!</v>
      </c>
      <c r="Z88" s="2167" t="e">
        <f>'[1]Permbledhsja dhe Institucionet '!AO80</f>
        <v>#REF!</v>
      </c>
      <c r="AA88" s="2119" t="e">
        <f>'[1]Permbledhsja dhe Institucionet '!AO81</f>
        <v>#REF!</v>
      </c>
      <c r="AB88" s="2120" t="e">
        <f>'[1]Permbledhsja dhe Institucionet '!AO82</f>
        <v>#REF!</v>
      </c>
    </row>
    <row r="89" spans="1:28" ht="16.5">
      <c r="A89" s="2121">
        <v>16</v>
      </c>
      <c r="B89" s="2168" t="e">
        <f>'[1]Pagat 2020 Limite mujore'!B88</f>
        <v>#REF!</v>
      </c>
      <c r="C89" s="2154" t="e">
        <f t="shared" ref="C89:C95" si="9">SUM(F89:M89)</f>
        <v>#REF!</v>
      </c>
      <c r="D89" s="2123" t="e">
        <f t="shared" si="7"/>
        <v>#REF!</v>
      </c>
      <c r="E89" s="2108" t="e">
        <f t="shared" si="8"/>
        <v>#REF!</v>
      </c>
      <c r="F89" s="2124" t="e">
        <f>'[1]Pagat 2020 Limite mujore'!S88</f>
        <v>#REF!</v>
      </c>
      <c r="G89" s="2125" t="e">
        <f>'[1]601 2019 Limite mujore'!V88</f>
        <v>#REF!</v>
      </c>
      <c r="H89" s="2124" t="e">
        <f>'[1]602  2019 Shpenz op limit mujor'!S85</f>
        <v>#REF!</v>
      </c>
      <c r="I89" s="2125" t="e">
        <f>'[1]Investimet 2019'!S86</f>
        <v>#REF!</v>
      </c>
      <c r="J89" s="2111" t="e">
        <f>'[1]606  2018 Shp per ind lim mujor'!S85</f>
        <v>#REF!</v>
      </c>
      <c r="K89" s="2120" t="e">
        <f>'[1]Permbledhsja dhe Institucionet '!AP79</f>
        <v>#REF!</v>
      </c>
      <c r="L89" s="2157" t="e">
        <f>'[1]Permbledhsja dhe Institucionet '!AP80</f>
        <v>#REF!</v>
      </c>
      <c r="M89" s="2128" t="e">
        <f>'[1]Permbledhsja dhe Institucionet '!AP81</f>
        <v>#REF!</v>
      </c>
      <c r="N89" s="2111" t="e">
        <f>'[1]Permbledhsja dhe Institucionet '!AP82</f>
        <v>#REF!</v>
      </c>
      <c r="O89" s="2155" t="e">
        <f>'[1]Pagat 2020 Limite mujore'!F88</f>
        <v>#REF!</v>
      </c>
      <c r="P89" s="2110" t="e">
        <f>'[1]601 2019 Limite mujore'!I88</f>
        <v>#REF!</v>
      </c>
      <c r="Q89" s="2109" t="e">
        <f>'[1]602  2019 Shpenz op limit mujor'!F85</f>
        <v>#REF!</v>
      </c>
      <c r="R89" s="2111" t="e">
        <f>'[1]Investimet 2019'!F84</f>
        <v>#REF!</v>
      </c>
      <c r="S89" s="2111" t="e">
        <f>'[1]606  2018 Shp per ind lim mujor'!F85</f>
        <v>#REF!</v>
      </c>
      <c r="T89" s="2126" t="e">
        <f>'[1]Permbledhsja dhe Institucionet '!AQ86</f>
        <v>#REF!</v>
      </c>
      <c r="U89" s="2129" t="e">
        <f>'[1]Permbledhsja dhe Institucionet '!AQ103</f>
        <v>#REF!</v>
      </c>
      <c r="V89" s="2126" t="e">
        <f>'[1]Permbledhsja dhe Institucionet '!AQ106</f>
        <v>#REF!</v>
      </c>
      <c r="W89" s="2126"/>
      <c r="X89" s="2127" t="e">
        <f>'[1]Permbledhsja dhe Institucionet '!AQ187</f>
        <v>#REF!</v>
      </c>
      <c r="Y89" s="2125" t="e">
        <f>'[1]Permbledhsja dhe Institucionet '!AQ79</f>
        <v>#REF!</v>
      </c>
      <c r="Z89" s="2131" t="e">
        <f>'[1]Permbledhsja dhe Institucionet '!AQ80</f>
        <v>#REF!</v>
      </c>
      <c r="AA89" s="2119" t="e">
        <f>'[1]Permbledhsja dhe Institucionet '!AQ81</f>
        <v>#REF!</v>
      </c>
      <c r="AB89" s="2120" t="e">
        <f>'[1]Permbledhsja dhe Institucionet '!AQ82</f>
        <v>#REF!</v>
      </c>
    </row>
    <row r="90" spans="1:28" ht="16.5">
      <c r="A90" s="2104">
        <v>17</v>
      </c>
      <c r="B90" s="2168" t="e">
        <f>'[1]Pagat 2020 Limite mujore'!B89</f>
        <v>#REF!</v>
      </c>
      <c r="C90" s="2154" t="e">
        <f t="shared" si="9"/>
        <v>#REF!</v>
      </c>
      <c r="D90" s="2123" t="e">
        <f t="shared" si="7"/>
        <v>#REF!</v>
      </c>
      <c r="E90" s="2108" t="e">
        <f t="shared" si="8"/>
        <v>#REF!</v>
      </c>
      <c r="F90" s="2124" t="e">
        <f>'[1]Pagat 2020 Limite mujore'!S89</f>
        <v>#REF!</v>
      </c>
      <c r="G90" s="2125" t="e">
        <f>'[1]601 2019 Limite mujore'!V89</f>
        <v>#REF!</v>
      </c>
      <c r="H90" s="2124" t="e">
        <f>'[1]602  2019 Shpenz op limit mujor'!S86</f>
        <v>#REF!</v>
      </c>
      <c r="I90" s="2125" t="e">
        <f>'[1]Investimet 2019'!S87</f>
        <v>#REF!</v>
      </c>
      <c r="J90" s="2111" t="e">
        <f>'[1]606  2018 Shp per ind lim mujor'!S86</f>
        <v>#REF!</v>
      </c>
      <c r="K90" s="2126" t="e">
        <f>'[1]Permbledhsja dhe Institucionet '!AR79</f>
        <v>#REF!</v>
      </c>
      <c r="L90" s="2157" t="e">
        <f>'[1]Permbledhsja dhe Institucionet '!AR80</f>
        <v>#REF!</v>
      </c>
      <c r="M90" s="2128" t="e">
        <f>'[1]Permbledhsja dhe Institucionet '!AR81</f>
        <v>#REF!</v>
      </c>
      <c r="N90" s="2111" t="e">
        <f>'[1]Permbledhsja dhe Institucionet '!AR82</f>
        <v>#REF!</v>
      </c>
      <c r="O90" s="2155" t="e">
        <f>'[1]Pagat 2020 Limite mujore'!F89</f>
        <v>#REF!</v>
      </c>
      <c r="P90" s="2110" t="e">
        <f>'[1]601 2019 Limite mujore'!I89</f>
        <v>#REF!</v>
      </c>
      <c r="Q90" s="2109" t="e">
        <f>'[1]602  2019 Shpenz op limit mujor'!F86</f>
        <v>#REF!</v>
      </c>
      <c r="R90" s="2111" t="e">
        <f>'[1]Investimet 2019'!F85</f>
        <v>#REF!</v>
      </c>
      <c r="S90" s="2111" t="e">
        <f>'[1]606  2018 Shp per ind lim mujor'!F86</f>
        <v>#REF!</v>
      </c>
      <c r="T90" s="2126" t="e">
        <f>'[1]Permbledhsja dhe Institucionet '!AS86</f>
        <v>#REF!</v>
      </c>
      <c r="U90" s="2129" t="e">
        <f>'[1]Permbledhsja dhe Institucionet '!AS103</f>
        <v>#REF!</v>
      </c>
      <c r="V90" s="2126" t="e">
        <f>'[1]Permbledhsja dhe Institucionet '!AS106</f>
        <v>#REF!</v>
      </c>
      <c r="W90" s="2126"/>
      <c r="X90" s="2127" t="e">
        <f>'[1]Permbledhsja dhe Institucionet '!AS187</f>
        <v>#REF!</v>
      </c>
      <c r="Y90" s="2125" t="e">
        <f>'[1]Permbledhsja dhe Institucionet '!AS79</f>
        <v>#REF!</v>
      </c>
      <c r="Z90" s="2131" t="e">
        <f>'[1]Permbledhsja dhe Institucionet '!AS80</f>
        <v>#REF!</v>
      </c>
      <c r="AA90" s="2132" t="e">
        <f>'[1]Permbledhsja dhe Institucionet '!AS81</f>
        <v>#REF!</v>
      </c>
      <c r="AB90" s="2126" t="e">
        <f>'[1]Permbledhsja dhe Institucionet '!AS82</f>
        <v>#REF!</v>
      </c>
    </row>
    <row r="91" spans="1:28" ht="16.5">
      <c r="A91" s="2121">
        <v>18</v>
      </c>
      <c r="B91" s="2168" t="e">
        <f>'[1]Pagat 2020 Limite mujore'!B90</f>
        <v>#REF!</v>
      </c>
      <c r="C91" s="2154" t="e">
        <f t="shared" si="9"/>
        <v>#REF!</v>
      </c>
      <c r="D91" s="2123" t="e">
        <f t="shared" si="7"/>
        <v>#REF!</v>
      </c>
      <c r="E91" s="2108" t="e">
        <f t="shared" si="8"/>
        <v>#REF!</v>
      </c>
      <c r="F91" s="2124" t="e">
        <f>'[1]Pagat 2020 Limite mujore'!S90</f>
        <v>#REF!</v>
      </c>
      <c r="G91" s="2125" t="e">
        <f>'[1]601 2019 Limite mujore'!V90</f>
        <v>#REF!</v>
      </c>
      <c r="H91" s="2124" t="e">
        <f>'[1]602  2019 Shpenz op limit mujor'!S87</f>
        <v>#REF!</v>
      </c>
      <c r="I91" s="2125" t="e">
        <f>'[1]Investimet 2019'!S88</f>
        <v>#REF!</v>
      </c>
      <c r="J91" s="2111" t="e">
        <f>'[1]606  2018 Shp per ind lim mujor'!S87</f>
        <v>#REF!</v>
      </c>
      <c r="K91" s="2126" t="e">
        <f>'[1]Permbledhsja dhe Institucionet '!AT79</f>
        <v>#REF!</v>
      </c>
      <c r="L91" s="2157" t="e">
        <f>'[1]Permbledhsja dhe Institucionet '!AT80</f>
        <v>#REF!</v>
      </c>
      <c r="M91" s="2128" t="e">
        <f>'[1]Permbledhsja dhe Institucionet '!AT81</f>
        <v>#REF!</v>
      </c>
      <c r="N91" s="2111" t="e">
        <f>'[1]Permbledhsja dhe Institucionet '!AT82</f>
        <v>#REF!</v>
      </c>
      <c r="O91" s="2155" t="e">
        <f>'[1]Pagat 2020 Limite mujore'!F90</f>
        <v>#REF!</v>
      </c>
      <c r="P91" s="2110" t="e">
        <f>'[1]601 2019 Limite mujore'!I90</f>
        <v>#REF!</v>
      </c>
      <c r="Q91" s="2109" t="e">
        <f>'[1]602  2019 Shpenz op limit mujor'!F87</f>
        <v>#REF!</v>
      </c>
      <c r="R91" s="2111" t="e">
        <f>'[1]Investimet 2019'!F86</f>
        <v>#REF!</v>
      </c>
      <c r="S91" s="2111" t="e">
        <f>'[1]606  2018 Shp per ind lim mujor'!F87</f>
        <v>#REF!</v>
      </c>
      <c r="T91" s="2120" t="e">
        <f>'[1]Permbledhsja dhe Institucionet '!AU86</f>
        <v>#REF!</v>
      </c>
      <c r="U91" s="2169" t="e">
        <f>'[1]Permbledhsja dhe Institucionet '!AU103</f>
        <v>#REF!</v>
      </c>
      <c r="V91" s="2120" t="e">
        <f>'[1]Permbledhsja dhe Institucionet '!AU106</f>
        <v>#REF!</v>
      </c>
      <c r="W91" s="2126"/>
      <c r="X91" s="2127" t="e">
        <f>'[1]Permbledhsja dhe Institucionet '!AU187</f>
        <v>#REF!</v>
      </c>
      <c r="Y91" s="2125" t="e">
        <f>'[1]Permbledhsja dhe Institucionet '!AU79</f>
        <v>#REF!</v>
      </c>
      <c r="Z91" s="2131" t="e">
        <f>'[1]Permbledhsja dhe Institucionet '!AU80</f>
        <v>#REF!</v>
      </c>
      <c r="AA91" s="2132" t="e">
        <f>'[1]Permbledhsja dhe Institucionet '!AU81</f>
        <v>#REF!</v>
      </c>
      <c r="AB91" s="2126" t="e">
        <f>'[1]Permbledhsja dhe Institucionet '!AU82</f>
        <v>#REF!</v>
      </c>
    </row>
    <row r="92" spans="1:28" ht="16.5">
      <c r="A92" s="2104">
        <v>19</v>
      </c>
      <c r="B92" s="2168" t="e">
        <f>'[1]Pagat 2020 Limite mujore'!B91</f>
        <v>#REF!</v>
      </c>
      <c r="C92" s="2154" t="e">
        <f t="shared" si="9"/>
        <v>#REF!</v>
      </c>
      <c r="D92" s="2123" t="e">
        <f t="shared" si="7"/>
        <v>#REF!</v>
      </c>
      <c r="E92" s="2108" t="e">
        <f t="shared" si="8"/>
        <v>#REF!</v>
      </c>
      <c r="F92" s="2124" t="e">
        <f>'[1]Pagat 2020 Limite mujore'!S91</f>
        <v>#REF!</v>
      </c>
      <c r="G92" s="2125" t="e">
        <f>'[1]601 2019 Limite mujore'!V91</f>
        <v>#REF!</v>
      </c>
      <c r="H92" s="2124" t="e">
        <f>'[1]602  2019 Shpenz op limit mujor'!S88</f>
        <v>#REF!</v>
      </c>
      <c r="I92" s="2125" t="e">
        <f>'[1]Investimet 2019'!S89</f>
        <v>#REF!</v>
      </c>
      <c r="J92" s="2111" t="e">
        <f>'[1]606  2018 Shp per ind lim mujor'!S88</f>
        <v>#REF!</v>
      </c>
      <c r="K92" s="2120" t="e">
        <f>'[1]Permbledhsja dhe Institucionet '!AV79</f>
        <v>#REF!</v>
      </c>
      <c r="L92" s="2157" t="e">
        <f>'[1]Permbledhsja dhe Institucionet '!AV80</f>
        <v>#REF!</v>
      </c>
      <c r="M92" s="2128" t="e">
        <f>'[1]Permbledhsja dhe Institucionet '!AV81</f>
        <v>#REF!</v>
      </c>
      <c r="N92" s="2111" t="e">
        <f>'[1]Permbledhsja dhe Institucionet '!AV82</f>
        <v>#REF!</v>
      </c>
      <c r="O92" s="2155" t="e">
        <f>'[1]Pagat 2020 Limite mujore'!F91</f>
        <v>#REF!</v>
      </c>
      <c r="P92" s="2110" t="e">
        <f>'[1]601 2019 Limite mujore'!I91</f>
        <v>#REF!</v>
      </c>
      <c r="Q92" s="2109" t="e">
        <f>'[1]602  2019 Shpenz op limit mujor'!F88</f>
        <v>#REF!</v>
      </c>
      <c r="R92" s="2111" t="e">
        <f>'[1]Investimet 2019'!F87</f>
        <v>#REF!</v>
      </c>
      <c r="S92" s="2111" t="e">
        <f>'[1]606  2018 Shp per ind lim mujor'!F88</f>
        <v>#REF!</v>
      </c>
      <c r="T92" s="2126" t="e">
        <f>'[1]Permbledhsja dhe Institucionet '!AW86</f>
        <v>#REF!</v>
      </c>
      <c r="U92" s="2129" t="e">
        <f>'[1]Permbledhsja dhe Institucionet '!AW103</f>
        <v>#REF!</v>
      </c>
      <c r="V92" s="2126" t="e">
        <f>'[1]Permbledhsja dhe Institucionet '!AW106</f>
        <v>#REF!</v>
      </c>
      <c r="W92" s="2126"/>
      <c r="X92" s="2127" t="e">
        <f>'[1]Permbledhsja dhe Institucionet '!AW187</f>
        <v>#REF!</v>
      </c>
      <c r="Y92" s="2125" t="e">
        <f>'[1]Permbledhsja dhe Institucionet '!AW79</f>
        <v>#REF!</v>
      </c>
      <c r="Z92" s="2131" t="e">
        <f>'[1]Permbledhsja dhe Institucionet '!AW80</f>
        <v>#REF!</v>
      </c>
      <c r="AA92" s="2119" t="e">
        <f>'[1]Permbledhsja dhe Institucionet '!AW81</f>
        <v>#REF!</v>
      </c>
      <c r="AB92" s="2120" t="e">
        <f>'[1]Permbledhsja dhe Institucionet '!AW81</f>
        <v>#REF!</v>
      </c>
    </row>
    <row r="93" spans="1:28" ht="16.5">
      <c r="A93" s="2121">
        <v>20</v>
      </c>
      <c r="B93" s="2168" t="e">
        <f>'[1]Pagat 2020 Limite mujore'!B92</f>
        <v>#REF!</v>
      </c>
      <c r="C93" s="2154" t="e">
        <f t="shared" si="9"/>
        <v>#REF!</v>
      </c>
      <c r="D93" s="2123" t="e">
        <f t="shared" si="7"/>
        <v>#REF!</v>
      </c>
      <c r="E93" s="2108" t="e">
        <f t="shared" si="8"/>
        <v>#REF!</v>
      </c>
      <c r="F93" s="2124" t="e">
        <f>'[1]Pagat 2020 Limite mujore'!S92</f>
        <v>#REF!</v>
      </c>
      <c r="G93" s="2125" t="e">
        <f>'[1]601 2019 Limite mujore'!V92</f>
        <v>#REF!</v>
      </c>
      <c r="H93" s="2124" t="e">
        <f>'[1]602  2019 Shpenz op limit mujor'!S89</f>
        <v>#REF!</v>
      </c>
      <c r="I93" s="2125" t="e">
        <f>'[1]Investimet 2019'!S90</f>
        <v>#REF!</v>
      </c>
      <c r="J93" s="2111" t="e">
        <f>'[1]606  2018 Shp per ind lim mujor'!S89</f>
        <v>#REF!</v>
      </c>
      <c r="K93" s="2126" t="e">
        <f>'[1]Permbledhsja dhe Institucionet '!AX79</f>
        <v>#REF!</v>
      </c>
      <c r="L93" s="2157" t="e">
        <f>'[1]Permbledhsja dhe Institucionet '!AX80</f>
        <v>#REF!</v>
      </c>
      <c r="M93" s="2128" t="e">
        <f>'[1]Permbledhsja dhe Institucionet '!AX81</f>
        <v>#REF!</v>
      </c>
      <c r="N93" s="2111" t="e">
        <f>'[1]Permbledhsja dhe Institucionet '!AX82</f>
        <v>#REF!</v>
      </c>
      <c r="O93" s="2155" t="e">
        <f>'[1]Pagat 2020 Limite mujore'!F92</f>
        <v>#REF!</v>
      </c>
      <c r="P93" s="2110" t="e">
        <f>'[1]601 2019 Limite mujore'!I92</f>
        <v>#REF!</v>
      </c>
      <c r="Q93" s="2109" t="e">
        <f>'[1]602  2019 Shpenz op limit mujor'!F89</f>
        <v>#REF!</v>
      </c>
      <c r="R93" s="2111" t="e">
        <f>'[1]Investimet 2019'!F88</f>
        <v>#REF!</v>
      </c>
      <c r="S93" s="2111" t="e">
        <f>'[1]606  2018 Shp per ind lim mujor'!F89</f>
        <v>#REF!</v>
      </c>
      <c r="T93" s="2126" t="e">
        <f>'[1]Permbledhsja dhe Institucionet '!AY86</f>
        <v>#REF!</v>
      </c>
      <c r="U93" s="2129" t="e">
        <f>'[1]Permbledhsja dhe Institucionet '!AY103</f>
        <v>#REF!</v>
      </c>
      <c r="V93" s="2126" t="e">
        <f>'[1]Permbledhsja dhe Institucionet '!AY106</f>
        <v>#REF!</v>
      </c>
      <c r="W93" s="2169" t="e">
        <f>'[1]Permbledhsja dhe Institucionet '!AY184</f>
        <v>#REF!</v>
      </c>
      <c r="X93" s="2127" t="e">
        <f>'[1]Permbledhsja dhe Institucionet '!AY187</f>
        <v>#REF!</v>
      </c>
      <c r="Y93" s="2125" t="e">
        <f>'[1]Permbledhsja dhe Institucionet '!AY79</f>
        <v>#REF!</v>
      </c>
      <c r="Z93" s="2131" t="e">
        <f>'[1]Permbledhsja dhe Institucionet '!AY80</f>
        <v>#REF!</v>
      </c>
      <c r="AA93" s="2132" t="e">
        <f>'[1]Permbledhsja dhe Institucionet '!AY81</f>
        <v>#REF!</v>
      </c>
      <c r="AB93" s="2126" t="e">
        <f>'[1]Permbledhsja dhe Institucionet '!AY82</f>
        <v>#REF!</v>
      </c>
    </row>
    <row r="94" spans="1:28" ht="16.5">
      <c r="A94" s="2104">
        <v>21</v>
      </c>
      <c r="B94" s="2168" t="e">
        <f>'[1]Pagat 2020 Limite mujore'!B93</f>
        <v>#REF!</v>
      </c>
      <c r="C94" s="2154" t="e">
        <f t="shared" si="9"/>
        <v>#REF!</v>
      </c>
      <c r="D94" s="2123" t="e">
        <f t="shared" si="7"/>
        <v>#REF!</v>
      </c>
      <c r="E94" s="2108" t="e">
        <f t="shared" si="8"/>
        <v>#REF!</v>
      </c>
      <c r="F94" s="2124" t="e">
        <f>'[1]Pagat 2020 Limite mujore'!S93</f>
        <v>#REF!</v>
      </c>
      <c r="G94" s="2125" t="e">
        <f>'[1]601 2019 Limite mujore'!V93</f>
        <v>#REF!</v>
      </c>
      <c r="H94" s="2124" t="e">
        <f>'[1]602  2019 Shpenz op limit mujor'!S90</f>
        <v>#REF!</v>
      </c>
      <c r="I94" s="2125" t="e">
        <f>'[1]Investimet 2019'!S91</f>
        <v>#REF!</v>
      </c>
      <c r="J94" s="2111" t="e">
        <f>'[1]606  2018 Shp per ind lim mujor'!S90</f>
        <v>#REF!</v>
      </c>
      <c r="K94" s="2126" t="e">
        <f>'[1]Permbledhsja dhe Institucionet '!AZ79</f>
        <v>#REF!</v>
      </c>
      <c r="L94" s="2157" t="e">
        <f>'[1]Permbledhsja dhe Institucionet '!AZ80</f>
        <v>#REF!</v>
      </c>
      <c r="M94" s="2128" t="e">
        <f>'[1]Permbledhsja dhe Institucionet '!AZ81</f>
        <v>#REF!</v>
      </c>
      <c r="N94" s="2111" t="e">
        <f>'[1]Permbledhsja dhe Institucionet '!AZ81</f>
        <v>#REF!</v>
      </c>
      <c r="O94" s="2155" t="e">
        <f>'[1]Pagat 2020 Limite mujore'!F93</f>
        <v>#REF!</v>
      </c>
      <c r="P94" s="2110" t="e">
        <f>'[1]601 2019 Limite mujore'!I93</f>
        <v>#REF!</v>
      </c>
      <c r="Q94" s="2109" t="e">
        <f>'[1]602  2019 Shpenz op limit mujor'!F90</f>
        <v>#REF!</v>
      </c>
      <c r="R94" s="2111" t="e">
        <f>'[1]Investimet 2019'!F89</f>
        <v>#REF!</v>
      </c>
      <c r="S94" s="2111" t="e">
        <f>'[1]606  2018 Shp per ind lim mujor'!F90</f>
        <v>#REF!</v>
      </c>
      <c r="T94" s="2120" t="e">
        <f>'[1]Permbledhsja dhe Institucionet '!BA86</f>
        <v>#REF!</v>
      </c>
      <c r="U94" s="2169" t="e">
        <f>'[1]Permbledhsja dhe Institucionet '!BA103</f>
        <v>#REF!</v>
      </c>
      <c r="V94" s="2120" t="e">
        <f>'[1]Permbledhsja dhe Institucionet '!BA106</f>
        <v>#REF!</v>
      </c>
      <c r="W94" s="2129" t="e">
        <f>'[1]Permbledhsja dhe Institucionet '!BA184</f>
        <v>#REF!</v>
      </c>
      <c r="X94" s="2127" t="e">
        <f>'[1]Permbledhsja dhe Institucionet '!BA187</f>
        <v>#REF!</v>
      </c>
      <c r="Y94" s="2125" t="e">
        <f>'[1]Permbledhsja dhe Institucionet '!BA79</f>
        <v>#REF!</v>
      </c>
      <c r="Z94" s="2131" t="e">
        <f>'[1]Permbledhsja dhe Institucionet '!BA80</f>
        <v>#REF!</v>
      </c>
      <c r="AA94" s="2132" t="e">
        <f>'[1]Permbledhsja dhe Institucionet '!BA81</f>
        <v>#REF!</v>
      </c>
      <c r="AB94" s="2126" t="e">
        <f>'[1]Permbledhsja dhe Institucionet '!BA82</f>
        <v>#REF!</v>
      </c>
    </row>
    <row r="95" spans="1:28" ht="17.25" thickBot="1">
      <c r="A95" s="2121">
        <v>22</v>
      </c>
      <c r="B95" s="2170" t="e">
        <f>'[1]Pagat 2020 Limite mujore'!B94</f>
        <v>#REF!</v>
      </c>
      <c r="C95" s="2154" t="e">
        <f t="shared" si="9"/>
        <v>#REF!</v>
      </c>
      <c r="D95" s="2139" t="e">
        <f t="shared" si="7"/>
        <v>#REF!</v>
      </c>
      <c r="E95" s="2108" t="e">
        <f t="shared" si="8"/>
        <v>#REF!</v>
      </c>
      <c r="F95" s="2171" t="e">
        <f>'[1]Pagat 2020 Limite mujore'!S94</f>
        <v>#REF!</v>
      </c>
      <c r="G95" s="2172" t="e">
        <f>'[1]601 2019 Limite mujore'!V94</f>
        <v>#REF!</v>
      </c>
      <c r="H95" s="2171" t="e">
        <f>'[1]602  2019 Shpenz op limit mujor'!S91</f>
        <v>#REF!</v>
      </c>
      <c r="I95" s="2172" t="e">
        <f>'[1]Investimet 2019'!S92</f>
        <v>#REF!</v>
      </c>
      <c r="J95" s="2111" t="e">
        <f>'[1]606  2018 Shp per ind lim mujor'!S91</f>
        <v>#REF!</v>
      </c>
      <c r="K95" s="2126" t="e">
        <f>'[1]Permbledhsja dhe Institucionet '!BB79</f>
        <v>#REF!</v>
      </c>
      <c r="L95" s="2146" t="e">
        <f>'[1]Permbledhsja dhe Institucionet '!BB80</f>
        <v>#REF!</v>
      </c>
      <c r="M95" s="2172" t="e">
        <f>'[1]Permbledhsja dhe Institucionet '!BB81</f>
        <v>#REF!</v>
      </c>
      <c r="N95" s="2173" t="e">
        <f>'[1]Permbledhsja dhe Institucionet '!BB82</f>
        <v>#REF!</v>
      </c>
      <c r="O95" s="2155" t="e">
        <f>'[1]Pagat 2020 Limite mujore'!F94</f>
        <v>#REF!</v>
      </c>
      <c r="P95" s="2110" t="e">
        <f>'[1]601 2019 Limite mujore'!I94</f>
        <v>#REF!</v>
      </c>
      <c r="Q95" s="2109" t="e">
        <f>'[1]602  2019 Shpenz op limit mujor'!F91</f>
        <v>#REF!</v>
      </c>
      <c r="R95" s="2111" t="e">
        <f>'[1]Investimet 2019'!F90</f>
        <v>#REF!</v>
      </c>
      <c r="S95" s="2111" t="e">
        <f>'[1]606  2018 Shp per ind lim mujor'!F91</f>
        <v>#REF!</v>
      </c>
      <c r="T95" s="2120" t="e">
        <f>'[1]Permbledhsja dhe Institucionet '!BC86</f>
        <v>#REF!</v>
      </c>
      <c r="U95" s="2169" t="e">
        <f>'[1]Permbledhsja dhe Institucionet '!BC103</f>
        <v>#REF!</v>
      </c>
      <c r="V95" s="2120" t="e">
        <f>'[1]Permbledhsja dhe Institucionet '!BC106</f>
        <v>#REF!</v>
      </c>
      <c r="W95" s="2169" t="e">
        <f>'[1]Permbledhsja dhe Institucionet '!BC184</f>
        <v>#REF!</v>
      </c>
      <c r="X95" s="2174" t="e">
        <f>'[1]Permbledhsja dhe Institucionet '!BC187</f>
        <v>#REF!</v>
      </c>
      <c r="Y95" s="2172" t="e">
        <f>'[1]Permbledhsja dhe Institucionet '!BC79</f>
        <v>#REF!</v>
      </c>
      <c r="Z95" s="2175" t="e">
        <f>'[1]Permbledhsja dhe Institucionet '!BC80</f>
        <v>#REF!</v>
      </c>
      <c r="AA95" s="2149" t="e">
        <f>'[1]Permbledhsja dhe Institucionet '!BC81</f>
        <v>#REF!</v>
      </c>
      <c r="AB95" s="2150" t="e">
        <f>'[1]Permbledhsja dhe Institucionet '!BC82</f>
        <v>#REF!</v>
      </c>
    </row>
    <row r="96" spans="1:28" ht="17.25" thickBot="1">
      <c r="A96" s="2151"/>
      <c r="B96" s="2176" t="s">
        <v>2739</v>
      </c>
      <c r="C96" s="2153" t="e">
        <f>SUM(C88:C95)</f>
        <v>#REF!</v>
      </c>
      <c r="D96" s="2153" t="e">
        <f t="shared" ref="D96:AA96" si="10">SUM(D88:D95)</f>
        <v>#REF!</v>
      </c>
      <c r="E96" s="2153" t="e">
        <f t="shared" si="10"/>
        <v>#REF!</v>
      </c>
      <c r="F96" s="2153" t="e">
        <f t="shared" si="10"/>
        <v>#REF!</v>
      </c>
      <c r="G96" s="2153" t="e">
        <f t="shared" si="10"/>
        <v>#REF!</v>
      </c>
      <c r="H96" s="2153" t="e">
        <f t="shared" si="10"/>
        <v>#REF!</v>
      </c>
      <c r="I96" s="2153" t="e">
        <f t="shared" si="10"/>
        <v>#REF!</v>
      </c>
      <c r="J96" s="2153" t="e">
        <f t="shared" si="10"/>
        <v>#REF!</v>
      </c>
      <c r="K96" s="2153" t="e">
        <f t="shared" si="10"/>
        <v>#REF!</v>
      </c>
      <c r="L96" s="2153" t="e">
        <f t="shared" si="10"/>
        <v>#REF!</v>
      </c>
      <c r="M96" s="2153" t="e">
        <f t="shared" si="10"/>
        <v>#REF!</v>
      </c>
      <c r="N96" s="2153" t="e">
        <f t="shared" si="10"/>
        <v>#REF!</v>
      </c>
      <c r="O96" s="2153" t="e">
        <f t="shared" si="10"/>
        <v>#REF!</v>
      </c>
      <c r="P96" s="2153" t="e">
        <f t="shared" si="10"/>
        <v>#REF!</v>
      </c>
      <c r="Q96" s="2153" t="e">
        <f t="shared" si="10"/>
        <v>#REF!</v>
      </c>
      <c r="R96" s="2153" t="e">
        <f t="shared" si="10"/>
        <v>#REF!</v>
      </c>
      <c r="S96" s="2153" t="e">
        <f t="shared" si="10"/>
        <v>#REF!</v>
      </c>
      <c r="T96" s="2153" t="e">
        <f t="shared" si="10"/>
        <v>#REF!</v>
      </c>
      <c r="U96" s="2153" t="e">
        <f t="shared" si="10"/>
        <v>#REF!</v>
      </c>
      <c r="V96" s="2153" t="e">
        <f t="shared" si="10"/>
        <v>#REF!</v>
      </c>
      <c r="W96" s="2153" t="e">
        <f>SUM(W88:W95)</f>
        <v>#REF!</v>
      </c>
      <c r="X96" s="2153" t="e">
        <f t="shared" si="10"/>
        <v>#REF!</v>
      </c>
      <c r="Y96" s="2153" t="e">
        <f t="shared" si="10"/>
        <v>#REF!</v>
      </c>
      <c r="Z96" s="2153" t="e">
        <f t="shared" si="10"/>
        <v>#REF!</v>
      </c>
      <c r="AA96" s="2153" t="e">
        <f t="shared" si="10"/>
        <v>#REF!</v>
      </c>
      <c r="AB96" s="2153"/>
    </row>
    <row r="97" spans="1:28" ht="16.5">
      <c r="A97" s="2104">
        <v>23</v>
      </c>
      <c r="B97" s="2177" t="e">
        <f>'[1]Pagat 2020 Limite mujore'!B95</f>
        <v>#REF!</v>
      </c>
      <c r="C97" s="2154" t="e">
        <f>SUM(F97:M97)</f>
        <v>#REF!</v>
      </c>
      <c r="D97" s="2107" t="e">
        <f t="shared" ref="D97:D103" si="11">SUM(O97:S97)</f>
        <v>#REF!</v>
      </c>
      <c r="E97" s="2108" t="e">
        <f t="shared" ref="E97:E103" si="12">T97+U97+V97+W97+X97</f>
        <v>#REF!</v>
      </c>
      <c r="F97" s="2109" t="e">
        <f>'[1]Pagat 2020 Limite mujore'!S95</f>
        <v>#REF!</v>
      </c>
      <c r="G97" s="2110" t="e">
        <f>'[1]601 2019 Limite mujore'!V95</f>
        <v>#REF!</v>
      </c>
      <c r="H97" s="2109" t="e">
        <f>'[1]602  2019 Shpenz op limit mujor'!S92</f>
        <v>#REF!</v>
      </c>
      <c r="I97" s="2110" t="e">
        <f>'[1]Investimet 2019'!S94</f>
        <v>#REF!</v>
      </c>
      <c r="J97" s="2111" t="e">
        <f>'[1]606  2018 Shp per ind lim mujor'!S92</f>
        <v>#REF!</v>
      </c>
      <c r="K97" s="2126" t="e">
        <f>'[1]Permbledhsja dhe Institucionet '!BD79</f>
        <v>#REF!</v>
      </c>
      <c r="L97" s="2155" t="e">
        <f>'[1]Permbledhsja dhe Institucionet '!BD80</f>
        <v>#REF!</v>
      </c>
      <c r="M97" s="2111" t="e">
        <f>'[1]Permbledhsja dhe Institucionet '!BD81</f>
        <v>#REF!</v>
      </c>
      <c r="N97" s="2111" t="e">
        <f>'[1]Permbledhsja dhe Institucionet '!BD82</f>
        <v>#REF!</v>
      </c>
      <c r="O97" s="2114" t="e">
        <f>'[1]Pagat 2020 Limite mujore'!F95</f>
        <v>#REF!</v>
      </c>
      <c r="P97" s="2110" t="e">
        <f>'[1]601 2019 Limite mujore'!I95</f>
        <v>#REF!</v>
      </c>
      <c r="Q97" s="2109" t="e">
        <f>'[1]602  2019 Shpenz op limit mujor'!F92</f>
        <v>#REF!</v>
      </c>
      <c r="R97" s="2111" t="e">
        <f>'[1]Investimet 2019'!F91</f>
        <v>#REF!</v>
      </c>
      <c r="S97" s="2111" t="e">
        <f>'[1]606  2018 Shp per ind lim mujor'!F92</f>
        <v>#REF!</v>
      </c>
      <c r="T97" s="2112" t="e">
        <f>'[1]Permbledhsja dhe Institucionet '!BE86</f>
        <v>#REF!</v>
      </c>
      <c r="U97" s="2116" t="e">
        <f>'[1]Permbledhsja dhe Institucionet '!BE103</f>
        <v>#REF!</v>
      </c>
      <c r="V97" s="2112" t="e">
        <f>'[1]Permbledhsja dhe Institucionet '!BE106</f>
        <v>#REF!</v>
      </c>
      <c r="W97" s="2116" t="e">
        <f>'[1]Permbledhsja dhe Institucionet '!BE184</f>
        <v>#REF!</v>
      </c>
      <c r="X97" s="2156" t="e">
        <f>'[1]Permbledhsja dhe Institucionet '!BE187</f>
        <v>#REF!</v>
      </c>
      <c r="Y97" s="2110" t="e">
        <f>'[1]Permbledhsja dhe Institucionet '!BE79</f>
        <v>#REF!</v>
      </c>
      <c r="Z97" s="2118" t="e">
        <f>'[1]Permbledhsja dhe Institucionet '!BE80</f>
        <v>#REF!</v>
      </c>
      <c r="AA97" s="2119" t="e">
        <f>'[1]Permbledhsja dhe Institucionet '!BE81</f>
        <v>#REF!</v>
      </c>
      <c r="AB97" s="2120" t="e">
        <f>'[1]Permbledhsja dhe Institucionet '!BE82</f>
        <v>#REF!</v>
      </c>
    </row>
    <row r="98" spans="1:28" ht="16.5">
      <c r="A98" s="2121">
        <v>24</v>
      </c>
      <c r="B98" s="2178" t="e">
        <f>'[1]Pagat 2020 Limite mujore'!B96</f>
        <v>#REF!</v>
      </c>
      <c r="C98" s="2154" t="e">
        <f t="shared" ref="C98:C103" si="13">SUM(F98:M98)</f>
        <v>#REF!</v>
      </c>
      <c r="D98" s="2123" t="e">
        <f t="shared" si="11"/>
        <v>#REF!</v>
      </c>
      <c r="E98" s="2108" t="e">
        <f t="shared" si="12"/>
        <v>#REF!</v>
      </c>
      <c r="F98" s="2124" t="e">
        <f>'[1]Pagat 2020 Limite mujore'!S96</f>
        <v>#REF!</v>
      </c>
      <c r="G98" s="2125" t="e">
        <f>'[1]601 2019 Limite mujore'!V96</f>
        <v>#REF!</v>
      </c>
      <c r="H98" s="2124" t="e">
        <f>'[1]602  2019 Shpenz op limit mujor'!S93</f>
        <v>#REF!</v>
      </c>
      <c r="I98" s="2125" t="e">
        <f>'[1]Investimet 2019'!S96</f>
        <v>#REF!</v>
      </c>
      <c r="J98" s="2111" t="e">
        <f>'[1]606  2018 Shp per ind lim mujor'!S93</f>
        <v>#REF!</v>
      </c>
      <c r="K98" s="2120" t="e">
        <f>'[1]Permbledhsja dhe Institucionet '!BF79</f>
        <v>#REF!</v>
      </c>
      <c r="L98" s="2157" t="e">
        <f>'[1]Permbledhsja dhe Institucionet '!BF80</f>
        <v>#REF!</v>
      </c>
      <c r="M98" s="2128" t="e">
        <f>'[1]Permbledhsja dhe Institucionet '!BF81</f>
        <v>#REF!</v>
      </c>
      <c r="N98" s="2111" t="e">
        <f>'[1]Permbledhsja dhe Institucionet '!BF82</f>
        <v>#REF!</v>
      </c>
      <c r="O98" s="2110" t="e">
        <f>'[1]Pagat 2020 Limite mujore'!F96</f>
        <v>#REF!</v>
      </c>
      <c r="P98" s="2110" t="e">
        <f>'[1]601 2019 Limite mujore'!I96</f>
        <v>#REF!</v>
      </c>
      <c r="Q98" s="2124" t="e">
        <f>'[1]602  2019 Shpenz op limit mujor'!F93</f>
        <v>#REF!</v>
      </c>
      <c r="R98" s="2111" t="e">
        <f>'[1]Investimet 2019'!F92</f>
        <v>#REF!</v>
      </c>
      <c r="S98" s="2111" t="e">
        <f>'[1]606  2018 Shp per ind lim mujor'!F93</f>
        <v>#REF!</v>
      </c>
      <c r="T98" s="2126" t="e">
        <f>'[1]Permbledhsja dhe Institucionet '!BG86</f>
        <v>#REF!</v>
      </c>
      <c r="U98" s="2129" t="e">
        <f>'[1]Permbledhsja dhe Institucionet '!BG103</f>
        <v>#REF!</v>
      </c>
      <c r="V98" s="2126" t="e">
        <f>'[1]Permbledhsja dhe Institucionet '!BG106</f>
        <v>#REF!</v>
      </c>
      <c r="W98" s="2169" t="e">
        <f>'[1]Permbledhsja dhe Institucionet '!BG184</f>
        <v>#REF!</v>
      </c>
      <c r="X98" s="2156" t="e">
        <f>'[1]Permbledhsja dhe Institucionet '!BG187</f>
        <v>#REF!</v>
      </c>
      <c r="Y98" s="2125" t="e">
        <f>'[1]Permbledhsja dhe Institucionet '!BG79</f>
        <v>#REF!</v>
      </c>
      <c r="Z98" s="2131" t="e">
        <f>'[1]Permbledhsja dhe Institucionet '!BG80</f>
        <v>#REF!</v>
      </c>
      <c r="AA98" s="2119" t="e">
        <f>'[1]Permbledhsja dhe Institucionet '!BG81</f>
        <v>#REF!</v>
      </c>
      <c r="AB98" s="2120" t="e">
        <f>'[1]Permbledhsja dhe Institucionet '!BG82</f>
        <v>#REF!</v>
      </c>
    </row>
    <row r="99" spans="1:28" ht="16.5">
      <c r="A99" s="2104">
        <v>25</v>
      </c>
      <c r="B99" s="2178" t="e">
        <f>'[1]Pagat 2020 Limite mujore'!B97</f>
        <v>#REF!</v>
      </c>
      <c r="C99" s="2154" t="e">
        <f t="shared" si="13"/>
        <v>#REF!</v>
      </c>
      <c r="D99" s="2123" t="e">
        <f t="shared" si="11"/>
        <v>#REF!</v>
      </c>
      <c r="E99" s="2108" t="e">
        <f t="shared" si="12"/>
        <v>#REF!</v>
      </c>
      <c r="F99" s="2124" t="e">
        <f>'[1]Pagat 2020 Limite mujore'!S97</f>
        <v>#REF!</v>
      </c>
      <c r="G99" s="2125" t="e">
        <f>'[1]601 2019 Limite mujore'!V97</f>
        <v>#REF!</v>
      </c>
      <c r="H99" s="2124" t="e">
        <f>'[1]602  2019 Shpenz op limit mujor'!S94</f>
        <v>#REF!</v>
      </c>
      <c r="I99" s="2125" t="e">
        <f>'[1]Investimet 2019'!S97</f>
        <v>#REF!</v>
      </c>
      <c r="J99" s="2111" t="e">
        <f>'[1]606  2018 Shp per ind lim mujor'!S94</f>
        <v>#REF!</v>
      </c>
      <c r="K99" s="2126" t="e">
        <f>'[1]Permbledhsja dhe Institucionet '!BH79</f>
        <v>#REF!</v>
      </c>
      <c r="L99" s="2157" t="e">
        <f>'[1]Permbledhsja dhe Institucionet '!BH80</f>
        <v>#REF!</v>
      </c>
      <c r="M99" s="2128" t="e">
        <f>'[1]Permbledhsja dhe Institucionet '!BH81</f>
        <v>#REF!</v>
      </c>
      <c r="N99" s="2111" t="e">
        <f>'[1]Permbledhsja dhe Institucionet '!BH82</f>
        <v>#REF!</v>
      </c>
      <c r="O99" s="2110" t="e">
        <f>'[1]Pagat 2020 Limite mujore'!F97</f>
        <v>#REF!</v>
      </c>
      <c r="P99" s="2110" t="e">
        <f>'[1]601 2019 Limite mujore'!I97</f>
        <v>#REF!</v>
      </c>
      <c r="Q99" s="2124" t="e">
        <f>'[1]602  2019 Shpenz op limit mujor'!F94</f>
        <v>#REF!</v>
      </c>
      <c r="R99" s="2111" t="e">
        <f>'[1]Investimet 2019'!F93</f>
        <v>#REF!</v>
      </c>
      <c r="S99" s="2111" t="e">
        <f>'[1]606  2018 Shp per ind lim mujor'!F94</f>
        <v>#REF!</v>
      </c>
      <c r="T99" s="2126" t="e">
        <f>'[1]Permbledhsja dhe Institucionet '!BI86</f>
        <v>#REF!</v>
      </c>
      <c r="U99" s="2129" t="e">
        <f>'[1]Permbledhsja dhe Institucionet '!BI103</f>
        <v>#REF!</v>
      </c>
      <c r="V99" s="2126" t="e">
        <f>'[1]Permbledhsja dhe Institucionet '!BI106</f>
        <v>#REF!</v>
      </c>
      <c r="W99" s="2129" t="e">
        <f>'[1]Permbledhsja dhe Institucionet '!BI184</f>
        <v>#REF!</v>
      </c>
      <c r="X99" s="2127" t="e">
        <f>'[1]Permbledhsja dhe Institucionet '!BI187</f>
        <v>#REF!</v>
      </c>
      <c r="Y99" s="2125" t="e">
        <f>'[1]Permbledhsja dhe Institucionet '!BI79</f>
        <v>#REF!</v>
      </c>
      <c r="Z99" s="2131" t="e">
        <f>'[1]Permbledhsja dhe Institucionet '!BI80</f>
        <v>#REF!</v>
      </c>
      <c r="AA99" s="2132" t="e">
        <f>'[1]Permbledhsja dhe Institucionet '!BI81</f>
        <v>#REF!</v>
      </c>
      <c r="AB99" s="2126" t="e">
        <f>'[1]Permbledhsja dhe Institucionet '!BI82</f>
        <v>#REF!</v>
      </c>
    </row>
    <row r="100" spans="1:28" ht="16.5">
      <c r="A100" s="2104">
        <v>26</v>
      </c>
      <c r="B100" s="2178" t="s">
        <v>2377</v>
      </c>
      <c r="C100" s="2154" t="e">
        <f t="shared" si="13"/>
        <v>#REF!</v>
      </c>
      <c r="D100" s="2123" t="e">
        <f t="shared" si="11"/>
        <v>#REF!</v>
      </c>
      <c r="E100" s="2108" t="e">
        <f>T100+U100+V100+W100+X100</f>
        <v>#REF!</v>
      </c>
      <c r="F100" s="2124" t="e">
        <f>'[1]Pagat 2020 Limite mujore'!S98</f>
        <v>#REF!</v>
      </c>
      <c r="G100" s="2125" t="e">
        <f>'[1]601 2019 Limite mujore'!V98</f>
        <v>#REF!</v>
      </c>
      <c r="H100" s="2124" t="e">
        <f>'[1]602  2019 Shpenz op limit mujor'!S95</f>
        <v>#REF!</v>
      </c>
      <c r="I100" s="2125" t="e">
        <f>'[1]Investimet 2019'!S95</f>
        <v>#REF!</v>
      </c>
      <c r="J100" s="2111" t="e">
        <f>'[1]606  2018 Shp per ind lim mujor'!S95</f>
        <v>#REF!</v>
      </c>
      <c r="K100" s="2126" t="e">
        <f>'[1]Permbledhsja dhe Institucionet '!BJ79</f>
        <v>#REF!</v>
      </c>
      <c r="L100" s="2126" t="e">
        <f>'[1]Permbledhsja dhe Institucionet '!BJ80</f>
        <v>#REF!</v>
      </c>
      <c r="M100" s="2179" t="e">
        <f>'[1]Permbledhsja dhe Institucionet '!BJ81</f>
        <v>#REF!</v>
      </c>
      <c r="N100" s="2180" t="e">
        <f>'[1]Permbledhsja dhe Institucionet '!BJ82</f>
        <v>#REF!</v>
      </c>
      <c r="O100" s="2110" t="e">
        <f>'[1]Pagat 2020 Limite mujore'!F98</f>
        <v>#REF!</v>
      </c>
      <c r="P100" s="2110" t="e">
        <f>'[1]601 2019 Limite mujore'!I98</f>
        <v>#REF!</v>
      </c>
      <c r="Q100" s="2124" t="e">
        <f>'[1]602  2019 Shpenz op limit mujor'!F95</f>
        <v>#REF!</v>
      </c>
      <c r="R100" s="2111" t="e">
        <f>'[1]Investimet 2019'!F95</f>
        <v>#REF!</v>
      </c>
      <c r="S100" s="2111" t="e">
        <f>'[1]606  2018 Shp per ind lim mujor'!F95</f>
        <v>#REF!</v>
      </c>
      <c r="T100" s="2126" t="e">
        <f>'[1]Permbledhsja dhe Institucionet '!BK86</f>
        <v>#REF!</v>
      </c>
      <c r="U100" s="2129" t="e">
        <f>'[1]Permbledhsja dhe Institucionet '!BK103</f>
        <v>#REF!</v>
      </c>
      <c r="V100" s="2126" t="e">
        <f>'[1]Permbledhsja dhe Institucionet '!BK106</f>
        <v>#REF!</v>
      </c>
      <c r="W100" s="2169" t="e">
        <f>'[1]Permbledhsja dhe Institucionet '!BK184</f>
        <v>#REF!</v>
      </c>
      <c r="X100" s="2156" t="e">
        <f>'[1]Permbledhsja dhe Institucionet '!BK187</f>
        <v>#REF!</v>
      </c>
      <c r="Y100" s="2125" t="e">
        <f>'[1]Permbledhsja dhe Institucionet '!BK79</f>
        <v>#REF!</v>
      </c>
      <c r="Z100" s="2131" t="e">
        <f>'[1]Permbledhsja dhe Institucionet '!BK80</f>
        <v>#REF!</v>
      </c>
      <c r="AA100" s="2132" t="e">
        <f>'[1]Permbledhsja dhe Institucionet '!BK81</f>
        <v>#REF!</v>
      </c>
      <c r="AB100" s="2126" t="e">
        <f>'[1]Permbledhsja dhe Institucionet '!BK82</f>
        <v>#REF!</v>
      </c>
    </row>
    <row r="101" spans="1:28" ht="16.5">
      <c r="A101" s="2104">
        <v>27</v>
      </c>
      <c r="B101" s="2178" t="e">
        <f>'[1]Pagat 2020 Limite mujore'!B99</f>
        <v>#REF!</v>
      </c>
      <c r="C101" s="2154" t="e">
        <f t="shared" si="13"/>
        <v>#REF!</v>
      </c>
      <c r="D101" s="2123" t="e">
        <f t="shared" si="11"/>
        <v>#REF!</v>
      </c>
      <c r="E101" s="2108" t="e">
        <f t="shared" si="12"/>
        <v>#REF!</v>
      </c>
      <c r="F101" s="2124" t="e">
        <f>'[1]Pagat 2020 Limite mujore'!S99</f>
        <v>#REF!</v>
      </c>
      <c r="G101" s="2125" t="e">
        <f>'[1]601 2019 Limite mujore'!V99</f>
        <v>#REF!</v>
      </c>
      <c r="H101" s="2124" t="e">
        <f>'[1]602  2019 Shpenz op limit mujor'!S96</f>
        <v>#REF!</v>
      </c>
      <c r="I101" s="2125">
        <v>0</v>
      </c>
      <c r="J101" s="2111" t="e">
        <f>'[1]606  2018 Shp per ind lim mujor'!S96</f>
        <v>#REF!</v>
      </c>
      <c r="K101" s="2126" t="e">
        <f>'[1]Permbledhsja dhe Institucionet '!BL79</f>
        <v>#REF!</v>
      </c>
      <c r="L101" s="2157" t="e">
        <f>'[1]Permbledhsja dhe Institucionet '!BL80</f>
        <v>#REF!</v>
      </c>
      <c r="M101" s="2128" t="e">
        <f>'[1]Permbledhsja dhe Institucionet '!BL81</f>
        <v>#REF!</v>
      </c>
      <c r="N101" s="2111" t="e">
        <f>'[1]Permbledhsja dhe Institucionet '!BL82</f>
        <v>#REF!</v>
      </c>
      <c r="O101" s="2110" t="e">
        <f>'[1]Pagat 2020 Limite mujore'!F99</f>
        <v>#REF!</v>
      </c>
      <c r="P101" s="2110" t="e">
        <f>'[1]601 2019 Limite mujore'!I99</f>
        <v>#REF!</v>
      </c>
      <c r="Q101" s="2124" t="e">
        <f>'[1]602  2019 Shpenz op limit mujor'!F96</f>
        <v>#REF!</v>
      </c>
      <c r="R101" s="2111" t="e">
        <f>'[1]Investimet 2019'!F96</f>
        <v>#REF!</v>
      </c>
      <c r="S101" s="2111" t="e">
        <f>'[1]606  2018 Shp per ind lim mujor'!F96</f>
        <v>#REF!</v>
      </c>
      <c r="T101" s="2126" t="e">
        <f>'[1]Permbledhsja dhe Institucionet '!BM86</f>
        <v>#REF!</v>
      </c>
      <c r="U101" s="2129" t="e">
        <f>'[1]Permbledhsja dhe Institucionet '!BM103</f>
        <v>#REF!</v>
      </c>
      <c r="V101" s="2126" t="e">
        <f>'[1]Permbledhsja dhe Institucionet '!BM106</f>
        <v>#REF!</v>
      </c>
      <c r="W101" s="2129" t="e">
        <f>'[1]Permbledhsja dhe Institucionet '!BM184</f>
        <v>#REF!</v>
      </c>
      <c r="X101" s="2156" t="e">
        <f>'[1]Permbledhsja dhe Institucionet '!BM187</f>
        <v>#REF!</v>
      </c>
      <c r="Y101" s="2125" t="e">
        <f>'[1]Permbledhsja dhe Institucionet '!BM79</f>
        <v>#REF!</v>
      </c>
      <c r="Z101" s="2131" t="e">
        <f>'[1]Permbledhsja dhe Institucionet '!BM80</f>
        <v>#REF!</v>
      </c>
      <c r="AA101" s="2132" t="e">
        <f>'[1]Permbledhsja dhe Institucionet '!BM81</f>
        <v>#REF!</v>
      </c>
      <c r="AB101" s="2126" t="e">
        <f>'[1]Permbledhsja dhe Institucionet '!BM82</f>
        <v>#REF!</v>
      </c>
    </row>
    <row r="102" spans="1:28" ht="16.5">
      <c r="A102" s="2121">
        <v>28</v>
      </c>
      <c r="B102" s="2178" t="e">
        <f>'[1]Pagat 2020 Limite mujore'!B100</f>
        <v>#REF!</v>
      </c>
      <c r="C102" s="2154" t="e">
        <f t="shared" si="13"/>
        <v>#REF!</v>
      </c>
      <c r="D102" s="2123" t="e">
        <f t="shared" si="11"/>
        <v>#REF!</v>
      </c>
      <c r="E102" s="2108" t="e">
        <f t="shared" si="12"/>
        <v>#REF!</v>
      </c>
      <c r="F102" s="2124" t="e">
        <f>'[1]Pagat 2020 Limite mujore'!S100</f>
        <v>#REF!</v>
      </c>
      <c r="G102" s="2125" t="e">
        <f>'[1]601 2019 Limite mujore'!V100</f>
        <v>#REF!</v>
      </c>
      <c r="H102" s="2124" t="e">
        <f>'[1]602  2019 Shpenz op limit mujor'!S97</f>
        <v>#REF!</v>
      </c>
      <c r="I102" s="2125" t="e">
        <f>'[1]Investimet 2019'!S100</f>
        <v>#REF!</v>
      </c>
      <c r="J102" s="2111" t="e">
        <f>'[1]606  2018 Shp per ind lim mujor'!S97</f>
        <v>#REF!</v>
      </c>
      <c r="K102" s="2126" t="e">
        <f>'[1]Permbledhsja dhe Institucionet '!BN79</f>
        <v>#REF!</v>
      </c>
      <c r="L102" s="2157" t="e">
        <f>'[1]Permbledhsja dhe Institucionet '!BN80</f>
        <v>#REF!</v>
      </c>
      <c r="M102" s="2128" t="e">
        <f>'[1]Permbledhsja dhe Institucionet '!BN81</f>
        <v>#REF!</v>
      </c>
      <c r="N102" s="2111" t="e">
        <f>'[1]Permbledhsja dhe Institucionet '!BN82</f>
        <v>#REF!</v>
      </c>
      <c r="O102" s="2110" t="e">
        <f>'[1]Pagat 2020 Limite mujore'!F100</f>
        <v>#REF!</v>
      </c>
      <c r="P102" s="2110" t="e">
        <f>'[1]601 2019 Limite mujore'!I100</f>
        <v>#REF!</v>
      </c>
      <c r="Q102" s="2124" t="e">
        <f>'[1]602  2019 Shpenz op limit mujor'!F97</f>
        <v>#REF!</v>
      </c>
      <c r="R102" s="2111" t="e">
        <f>'[1]Investimet 2019'!F97</f>
        <v>#REF!</v>
      </c>
      <c r="S102" s="2111" t="e">
        <f>'[1]606  2018 Shp per ind lim mujor'!F97</f>
        <v>#REF!</v>
      </c>
      <c r="T102" s="2126" t="e">
        <f>'[1]Permbledhsja dhe Institucionet '!BO86</f>
        <v>#REF!</v>
      </c>
      <c r="U102" s="2129" t="e">
        <f>'[1]Permbledhsja dhe Institucionet '!BO103</f>
        <v>#REF!</v>
      </c>
      <c r="V102" s="2126" t="e">
        <f>'[1]Permbledhsja dhe Institucionet '!BO106</f>
        <v>#REF!</v>
      </c>
      <c r="W102" s="2169" t="e">
        <f>'[1]Permbledhsja dhe Institucionet '!BO184</f>
        <v>#REF!</v>
      </c>
      <c r="X102" s="2156" t="e">
        <f>'[1]Permbledhsja dhe Institucionet '!BO187</f>
        <v>#REF!</v>
      </c>
      <c r="Y102" s="2125" t="e">
        <f>'[1]Permbledhsja dhe Institucionet '!BO79</f>
        <v>#REF!</v>
      </c>
      <c r="Z102" s="2131" t="e">
        <f>'[1]Permbledhsja dhe Institucionet '!BO80</f>
        <v>#REF!</v>
      </c>
      <c r="AA102" s="2132" t="e">
        <f>'[1]Permbledhsja dhe Institucionet '!BO81</f>
        <v>#REF!</v>
      </c>
      <c r="AB102" s="2126" t="e">
        <f>'[1]Permbledhsja dhe Institucionet '!BO82</f>
        <v>#REF!</v>
      </c>
    </row>
    <row r="103" spans="1:28" ht="17.25" thickBot="1">
      <c r="A103" s="2104">
        <v>29</v>
      </c>
      <c r="B103" s="2181" t="e">
        <f>'[1]Pagat 2020 Limite mujore'!B101</f>
        <v>#REF!</v>
      </c>
      <c r="C103" s="2154" t="e">
        <f t="shared" si="13"/>
        <v>#REF!</v>
      </c>
      <c r="D103" s="2139" t="e">
        <f t="shared" si="11"/>
        <v>#REF!</v>
      </c>
      <c r="E103" s="2108" t="e">
        <f t="shared" si="12"/>
        <v>#REF!</v>
      </c>
      <c r="F103" s="2171" t="e">
        <f>'[1]Pagat 2020 Limite mujore'!S101</f>
        <v>#REF!</v>
      </c>
      <c r="G103" s="2172" t="e">
        <f>'[1]601 2019 Limite mujore'!V101</f>
        <v>#REF!</v>
      </c>
      <c r="H103" s="2171" t="e">
        <f>'[1]602  2019 Shpenz op limit mujor'!S98</f>
        <v>#REF!</v>
      </c>
      <c r="I103" s="2172" t="e">
        <f>'[1]Investimet 2019'!S101</f>
        <v>#REF!</v>
      </c>
      <c r="J103" s="2111" t="e">
        <f>'[1]606  2018 Shp per ind lim mujor'!S98</f>
        <v>#REF!</v>
      </c>
      <c r="K103" s="2126" t="e">
        <f>'[1]Permbledhsja dhe Institucionet '!BP79</f>
        <v>#REF!</v>
      </c>
      <c r="L103" s="2146" t="e">
        <f>'[1]Permbledhsja dhe Institucionet '!BP80</f>
        <v>#REF!</v>
      </c>
      <c r="M103" s="2172" t="e">
        <f>'[1]Permbledhsja dhe Institucionet '!BP81</f>
        <v>#REF!</v>
      </c>
      <c r="N103" s="2173" t="e">
        <f>'[1]Permbledhsja dhe Institucionet '!BP81</f>
        <v>#REF!</v>
      </c>
      <c r="O103" s="2182" t="e">
        <f>'[1]Pagat 2020 Limite mujore'!F101</f>
        <v>#REF!</v>
      </c>
      <c r="P103" s="2110" t="e">
        <f>'[1]601 2019 Limite mujore'!I101</f>
        <v>#REF!</v>
      </c>
      <c r="Q103" s="2171" t="e">
        <f>'[1]602  2019 Shpenz op limit mujor'!F98</f>
        <v>#REF!</v>
      </c>
      <c r="R103" s="2111" t="e">
        <f>'[1]Investimet 2019'!F98</f>
        <v>#REF!</v>
      </c>
      <c r="S103" s="2111" t="e">
        <f>'[1]606  2018 Shp per ind lim mujor'!F98</f>
        <v>#REF!</v>
      </c>
      <c r="T103" s="2126" t="e">
        <f>'[1]Permbledhsja dhe Institucionet '!BQ86</f>
        <v>#REF!</v>
      </c>
      <c r="U103" s="2169" t="e">
        <f>'[1]Permbledhsja dhe Institucionet '!BQ103</f>
        <v>#REF!</v>
      </c>
      <c r="V103" s="2120" t="e">
        <f>'[1]Permbledhsja dhe Institucionet '!BQ106</f>
        <v>#REF!</v>
      </c>
      <c r="W103" s="2169" t="e">
        <f>'[1]Permbledhsja dhe Institucionet '!BQ184</f>
        <v>#REF!</v>
      </c>
      <c r="X103" s="2174" t="e">
        <f>'[1]Permbledhsja dhe Institucionet '!BQ187</f>
        <v>#REF!</v>
      </c>
      <c r="Y103" s="2172" t="e">
        <f>'[1]Permbledhsja dhe Institucionet '!BQ79</f>
        <v>#REF!</v>
      </c>
      <c r="Z103" s="2175" t="e">
        <f>'[1]Permbledhsja dhe Institucionet '!BQ80</f>
        <v>#REF!</v>
      </c>
      <c r="AA103" s="2149" t="e">
        <f>'[1]Permbledhsja dhe Institucionet '!BQ81</f>
        <v>#REF!</v>
      </c>
      <c r="AB103" s="2150" t="e">
        <f>'[1]Permbledhsja dhe Institucionet '!BQ82</f>
        <v>#REF!</v>
      </c>
    </row>
    <row r="104" spans="1:28" ht="17.25" thickBot="1">
      <c r="A104" s="2183"/>
      <c r="B104" s="2152" t="s">
        <v>2739</v>
      </c>
      <c r="C104" s="2184" t="e">
        <f>SUM(C97:C103)</f>
        <v>#REF!</v>
      </c>
      <c r="D104" s="2184" t="e">
        <f t="shared" ref="D104:AB104" si="14">SUM(D97:D103)</f>
        <v>#REF!</v>
      </c>
      <c r="E104" s="2184" t="e">
        <f t="shared" si="14"/>
        <v>#REF!</v>
      </c>
      <c r="F104" s="2184" t="e">
        <f t="shared" si="14"/>
        <v>#REF!</v>
      </c>
      <c r="G104" s="2184" t="e">
        <f t="shared" si="14"/>
        <v>#REF!</v>
      </c>
      <c r="H104" s="2184" t="e">
        <f t="shared" si="14"/>
        <v>#REF!</v>
      </c>
      <c r="I104" s="2184" t="e">
        <f t="shared" si="14"/>
        <v>#REF!</v>
      </c>
      <c r="J104" s="2184" t="e">
        <f t="shared" si="14"/>
        <v>#REF!</v>
      </c>
      <c r="K104" s="2184" t="e">
        <f t="shared" si="14"/>
        <v>#REF!</v>
      </c>
      <c r="L104" s="2184" t="e">
        <f t="shared" si="14"/>
        <v>#REF!</v>
      </c>
      <c r="M104" s="2184" t="e">
        <f t="shared" si="14"/>
        <v>#REF!</v>
      </c>
      <c r="N104" s="2184" t="e">
        <f t="shared" si="14"/>
        <v>#REF!</v>
      </c>
      <c r="O104" s="2184" t="e">
        <f t="shared" si="14"/>
        <v>#REF!</v>
      </c>
      <c r="P104" s="2184" t="e">
        <f t="shared" si="14"/>
        <v>#REF!</v>
      </c>
      <c r="Q104" s="2184" t="e">
        <f t="shared" si="14"/>
        <v>#REF!</v>
      </c>
      <c r="R104" s="2184" t="e">
        <f t="shared" si="14"/>
        <v>#REF!</v>
      </c>
      <c r="S104" s="2184" t="e">
        <f t="shared" si="14"/>
        <v>#REF!</v>
      </c>
      <c r="T104" s="2184" t="e">
        <f t="shared" si="14"/>
        <v>#REF!</v>
      </c>
      <c r="U104" s="2184" t="e">
        <f t="shared" si="14"/>
        <v>#REF!</v>
      </c>
      <c r="V104" s="2184" t="e">
        <f t="shared" si="14"/>
        <v>#REF!</v>
      </c>
      <c r="W104" s="2184" t="e">
        <f t="shared" si="14"/>
        <v>#REF!</v>
      </c>
      <c r="X104" s="2184" t="e">
        <f t="shared" si="14"/>
        <v>#REF!</v>
      </c>
      <c r="Y104" s="2184" t="e">
        <f t="shared" si="14"/>
        <v>#REF!</v>
      </c>
      <c r="Z104" s="2184" t="e">
        <f t="shared" si="14"/>
        <v>#REF!</v>
      </c>
      <c r="AA104" s="2184" t="e">
        <f t="shared" si="14"/>
        <v>#REF!</v>
      </c>
      <c r="AB104" s="2184" t="e">
        <f t="shared" si="14"/>
        <v>#REF!</v>
      </c>
    </row>
    <row r="105" spans="1:28" ht="17.25" thickBot="1">
      <c r="A105" s="2151"/>
      <c r="B105" s="2185" t="s">
        <v>2740</v>
      </c>
      <c r="C105" s="2153" t="e">
        <f t="shared" ref="C105:V105" si="15">SUM(C104+C96+C87+C81)</f>
        <v>#REF!</v>
      </c>
      <c r="D105" s="2153" t="e">
        <f t="shared" si="15"/>
        <v>#REF!</v>
      </c>
      <c r="E105" s="2153" t="e">
        <f t="shared" si="15"/>
        <v>#REF!</v>
      </c>
      <c r="F105" s="2153" t="e">
        <f t="shared" si="15"/>
        <v>#REF!</v>
      </c>
      <c r="G105" s="2153" t="e">
        <f t="shared" si="15"/>
        <v>#REF!</v>
      </c>
      <c r="H105" s="2153" t="e">
        <f t="shared" si="15"/>
        <v>#REF!</v>
      </c>
      <c r="I105" s="2153" t="e">
        <f t="shared" si="15"/>
        <v>#REF!</v>
      </c>
      <c r="J105" s="2153" t="e">
        <f t="shared" si="15"/>
        <v>#REF!</v>
      </c>
      <c r="K105" s="2153" t="e">
        <f t="shared" si="15"/>
        <v>#REF!</v>
      </c>
      <c r="L105" s="2153" t="e">
        <f t="shared" si="15"/>
        <v>#REF!</v>
      </c>
      <c r="M105" s="2153" t="e">
        <f t="shared" si="15"/>
        <v>#REF!</v>
      </c>
      <c r="N105" s="2153" t="e">
        <f t="shared" si="15"/>
        <v>#REF!</v>
      </c>
      <c r="O105" s="2153" t="e">
        <f t="shared" si="15"/>
        <v>#REF!</v>
      </c>
      <c r="P105" s="2153" t="e">
        <f t="shared" si="15"/>
        <v>#REF!</v>
      </c>
      <c r="Q105" s="2153" t="e">
        <f t="shared" si="15"/>
        <v>#REF!</v>
      </c>
      <c r="R105" s="2153" t="e">
        <f t="shared" si="15"/>
        <v>#REF!</v>
      </c>
      <c r="S105" s="2153" t="e">
        <f t="shared" si="15"/>
        <v>#REF!</v>
      </c>
      <c r="T105" s="2153" t="e">
        <f t="shared" si="15"/>
        <v>#REF!</v>
      </c>
      <c r="U105" s="2153" t="e">
        <f t="shared" si="15"/>
        <v>#REF!</v>
      </c>
      <c r="V105" s="2153" t="e">
        <f t="shared" si="15"/>
        <v>#REF!</v>
      </c>
      <c r="W105" s="2153"/>
      <c r="X105" s="2153" t="e">
        <f t="shared" ref="X105:AB105" si="16">SUM(X104+X96+X87+X81)</f>
        <v>#REF!</v>
      </c>
      <c r="Y105" s="2153" t="e">
        <f t="shared" si="16"/>
        <v>#REF!</v>
      </c>
      <c r="Z105" s="2153" t="e">
        <f t="shared" si="16"/>
        <v>#REF!</v>
      </c>
      <c r="AA105" s="2153" t="e">
        <f t="shared" si="16"/>
        <v>#REF!</v>
      </c>
      <c r="AB105" s="2153" t="e">
        <f t="shared" si="16"/>
        <v>#REF!</v>
      </c>
    </row>
    <row r="106" spans="1:28" ht="17.25" thickBot="1">
      <c r="A106" s="2173">
        <v>30</v>
      </c>
      <c r="B106" s="2186" t="e">
        <f>'[1]Pagat 2020 Limite mujore'!B102</f>
        <v>#REF!</v>
      </c>
      <c r="C106" s="2187" t="e">
        <f>SUM(F106:M106)</f>
        <v>#REF!</v>
      </c>
      <c r="D106" s="2188" t="e">
        <f>SUM(O106:S106)</f>
        <v>#REF!</v>
      </c>
      <c r="E106" s="2108" t="e">
        <f>T106+U106+V106+W106+X106</f>
        <v>#REF!</v>
      </c>
      <c r="F106" s="2189" t="e">
        <f>'[1]Pagat 2020 Limite mujore'!S102</f>
        <v>#REF!</v>
      </c>
      <c r="G106" s="2173" t="e">
        <f>'[1]601 2019 Limite mujore'!V102</f>
        <v>#REF!</v>
      </c>
      <c r="H106" s="2173" t="e">
        <f>'[1]602  2019 Shpenz op limit mujor'!S99</f>
        <v>#REF!</v>
      </c>
      <c r="I106" s="2190" t="e">
        <f>'[1]Investimet 2019'!S99</f>
        <v>#REF!</v>
      </c>
      <c r="J106" s="2111" t="e">
        <f>'[1]606  2018 Shp per ind lim mujor'!S99</f>
        <v>#REF!</v>
      </c>
      <c r="K106" s="2126" t="e">
        <f>'[1]Permbledhsja dhe Institucionet '!BR79</f>
        <v>#REF!</v>
      </c>
      <c r="L106" s="2191" t="e">
        <f>'[1]Permbledhsja dhe Institucionet '!BR80</f>
        <v>#REF!</v>
      </c>
      <c r="M106" s="2173" t="e">
        <f>'[1]Permbledhsja dhe Institucionet '!BR81</f>
        <v>#REF!</v>
      </c>
      <c r="N106" s="2173" t="e">
        <f>'[1]Permbledhsja dhe Institucionet '!BR82</f>
        <v>#REF!</v>
      </c>
      <c r="O106" s="2191" t="e">
        <f>'[1]Pagat 2020 Limite mujore'!F102</f>
        <v>#REF!</v>
      </c>
      <c r="P106" s="2173" t="e">
        <f>'[1]601 2019 Limite mujore'!I102</f>
        <v>#REF!</v>
      </c>
      <c r="Q106" s="2189" t="e">
        <f>'[1]602  2019 Shpenz op limit mujor'!F99</f>
        <v>#REF!</v>
      </c>
      <c r="R106" s="2173" t="e">
        <f>'[1]Investimet 2019'!F99</f>
        <v>#REF!</v>
      </c>
      <c r="S106" s="2173" t="e">
        <f>'[1]606  2018 Shp per ind lim mujor'!F99</f>
        <v>#REF!</v>
      </c>
      <c r="T106" s="2112" t="e">
        <f>'[1]Permbledhsja dhe Institucionet '!BS86</f>
        <v>#REF!</v>
      </c>
      <c r="U106" s="2116" t="e">
        <f>'[1]Permbledhsja dhe Institucionet '!BS103</f>
        <v>#REF!</v>
      </c>
      <c r="V106" s="2112" t="e">
        <f>'[1]Permbledhsja dhe Institucionet '!BS106</f>
        <v>#REF!</v>
      </c>
      <c r="W106" s="2116" t="e">
        <f>'[1]Permbledhsja dhe Institucionet '!BS184</f>
        <v>#REF!</v>
      </c>
      <c r="X106" s="2192" t="e">
        <f>'[1]Permbledhsja dhe Institucionet '!BS187</f>
        <v>#REF!</v>
      </c>
      <c r="Y106" s="2193" t="e">
        <f>'[1]Permbledhsja dhe Institucionet '!BS79</f>
        <v>#REF!</v>
      </c>
      <c r="Z106" s="2194" t="e">
        <f>'[1]Permbledhsja dhe Institucionet '!BS80</f>
        <v>#REF!</v>
      </c>
      <c r="AA106" s="2195" t="e">
        <f>'[1]Permbledhsja dhe Institucionet '!BS81</f>
        <v>#REF!</v>
      </c>
      <c r="AB106" s="2196" t="e">
        <f>'[1]Permbledhsja dhe Institucionet '!BS82</f>
        <v>#REF!</v>
      </c>
    </row>
    <row r="107" spans="1:28" ht="17.25" thickBot="1">
      <c r="A107" s="2197"/>
      <c r="B107" s="2198" t="s">
        <v>2741</v>
      </c>
      <c r="C107" s="2153" t="e">
        <f>SUM(C108:C119)</f>
        <v>#REF!</v>
      </c>
      <c r="D107" s="2153" t="e">
        <f t="shared" ref="D107:AB107" si="17">SUM(D108:D119)</f>
        <v>#REF!</v>
      </c>
      <c r="E107" s="2153" t="e">
        <f t="shared" si="17"/>
        <v>#REF!</v>
      </c>
      <c r="F107" s="2153" t="e">
        <f t="shared" si="17"/>
        <v>#REF!</v>
      </c>
      <c r="G107" s="2153" t="e">
        <f t="shared" si="17"/>
        <v>#REF!</v>
      </c>
      <c r="H107" s="2153" t="e">
        <f t="shared" si="17"/>
        <v>#REF!</v>
      </c>
      <c r="I107" s="2153" t="e">
        <f t="shared" si="17"/>
        <v>#REF!</v>
      </c>
      <c r="J107" s="2153" t="e">
        <f t="shared" si="17"/>
        <v>#REF!</v>
      </c>
      <c r="K107" s="2153" t="e">
        <f t="shared" si="17"/>
        <v>#REF!</v>
      </c>
      <c r="L107" s="2153" t="e">
        <f t="shared" si="17"/>
        <v>#REF!</v>
      </c>
      <c r="M107" s="2153" t="e">
        <f t="shared" si="17"/>
        <v>#REF!</v>
      </c>
      <c r="N107" s="2153" t="e">
        <f t="shared" si="17"/>
        <v>#REF!</v>
      </c>
      <c r="O107" s="2153" t="e">
        <f t="shared" si="17"/>
        <v>#REF!</v>
      </c>
      <c r="P107" s="2153" t="e">
        <f t="shared" si="17"/>
        <v>#REF!</v>
      </c>
      <c r="Q107" s="2153" t="e">
        <f t="shared" si="17"/>
        <v>#REF!</v>
      </c>
      <c r="R107" s="2153" t="e">
        <f t="shared" si="17"/>
        <v>#REF!</v>
      </c>
      <c r="S107" s="2153" t="e">
        <f t="shared" si="17"/>
        <v>#REF!</v>
      </c>
      <c r="T107" s="2153" t="e">
        <f t="shared" si="17"/>
        <v>#REF!</v>
      </c>
      <c r="U107" s="2153" t="e">
        <f t="shared" si="17"/>
        <v>#REF!</v>
      </c>
      <c r="V107" s="2153" t="e">
        <f t="shared" si="17"/>
        <v>#REF!</v>
      </c>
      <c r="W107" s="2153" t="e">
        <f t="shared" si="17"/>
        <v>#REF!</v>
      </c>
      <c r="X107" s="2153" t="e">
        <f t="shared" si="17"/>
        <v>#REF!</v>
      </c>
      <c r="Y107" s="2153" t="e">
        <f t="shared" si="17"/>
        <v>#REF!</v>
      </c>
      <c r="Z107" s="2153" t="e">
        <f t="shared" si="17"/>
        <v>#REF!</v>
      </c>
      <c r="AA107" s="2153" t="e">
        <f t="shared" si="17"/>
        <v>#REF!</v>
      </c>
      <c r="AB107" s="2153" t="e">
        <f t="shared" si="17"/>
        <v>#REF!</v>
      </c>
    </row>
    <row r="108" spans="1:28" ht="16.5">
      <c r="A108" s="2104">
        <v>31</v>
      </c>
      <c r="B108" s="2105" t="e">
        <f>'[1]Pagat 2020 Limite mujore'!B103</f>
        <v>#REF!</v>
      </c>
      <c r="C108" s="2154" t="e">
        <f>SUM(F108:M108)</f>
        <v>#REF!</v>
      </c>
      <c r="D108" s="2107" t="e">
        <f t="shared" ref="D108:D120" si="18">SUM(O108:S108)</f>
        <v>#REF!</v>
      </c>
      <c r="E108" s="2108" t="e">
        <f t="shared" ref="E108:E118" si="19">T108+U108+V108+W108+X108</f>
        <v>#REF!</v>
      </c>
      <c r="F108" s="2109" t="e">
        <f>'[1]Pagat 2020 Limite mujore'!S103</f>
        <v>#REF!</v>
      </c>
      <c r="G108" s="2110" t="e">
        <f>'[1]601 2019 Limite mujore'!V103</f>
        <v>#REF!</v>
      </c>
      <c r="H108" s="2109" t="e">
        <f>'[1]602  2019 Shpenz op limit mujor'!S100</f>
        <v>#REF!</v>
      </c>
      <c r="I108" s="2110" t="e">
        <f>'[1]Investimet 2019'!S106</f>
        <v>#REF!</v>
      </c>
      <c r="J108" s="2111" t="e">
        <f>'[1]606  2018 Shp per ind lim mujor'!S106</f>
        <v>#REF!</v>
      </c>
      <c r="K108" s="2120" t="e">
        <f>'[1]Permbledhsja dhe Institucionet '!BT79</f>
        <v>#REF!</v>
      </c>
      <c r="L108" s="2155" t="e">
        <f>'[1]Permbledhsja dhe Institucionet '!BT80</f>
        <v>#REF!</v>
      </c>
      <c r="M108" s="2111" t="e">
        <f>'[1]Permbledhsja dhe Institucionet '!BT81</f>
        <v>#REF!</v>
      </c>
      <c r="N108" s="2111" t="e">
        <f>'[1]Permbledhsja dhe Institucionet '!BT82</f>
        <v>#REF!</v>
      </c>
      <c r="O108" s="2155" t="e">
        <f>'[1]Pagat 2020 Limite mujore'!F103</f>
        <v>#REF!</v>
      </c>
      <c r="P108" s="2110" t="e">
        <f>'[1]601 2019 Limite mujore'!I103</f>
        <v>#REF!</v>
      </c>
      <c r="Q108" s="2109" t="e">
        <f>'[1]602  2019 Shpenz op limit mujor'!F100</f>
        <v>#REF!</v>
      </c>
      <c r="R108" s="2111" t="e">
        <f>'[1]Investimet 2019'!F100</f>
        <v>#REF!</v>
      </c>
      <c r="S108" s="2111" t="e">
        <f>'[1]606  2018 Shp per ind lim mujor'!F106</f>
        <v>#REF!</v>
      </c>
      <c r="T108" s="2112" t="e">
        <f>'[1]Permbledhsja dhe Institucionet '!BU86</f>
        <v>#REF!</v>
      </c>
      <c r="U108" s="2116" t="e">
        <f>'[1]Permbledhsja dhe Institucionet '!BU103</f>
        <v>#REF!</v>
      </c>
      <c r="V108" s="2112" t="e">
        <f>'[1]Permbledhsja dhe Institucionet '!BU106</f>
        <v>#REF!</v>
      </c>
      <c r="W108" s="2116" t="e">
        <f>'[1]Permbledhsja dhe Institucionet '!BU184</f>
        <v>#REF!</v>
      </c>
      <c r="X108" s="2156" t="e">
        <f>'[1]Permbledhsja dhe Institucionet '!BU187</f>
        <v>#REF!</v>
      </c>
      <c r="Y108" s="2110" t="e">
        <f>'[1]Permbledhsja dhe Institucionet '!BU79</f>
        <v>#REF!</v>
      </c>
      <c r="Z108" s="2118" t="e">
        <f>'[1]Permbledhsja dhe Institucionet '!BU80</f>
        <v>#REF!</v>
      </c>
      <c r="AA108" s="2119" t="e">
        <f>'[1]Permbledhsja dhe Institucionet '!BU81</f>
        <v>#REF!</v>
      </c>
      <c r="AB108" s="2120" t="e">
        <f>'[1]Permbledhsja dhe Institucionet '!BU82</f>
        <v>#REF!</v>
      </c>
    </row>
    <row r="109" spans="1:28" ht="16.5">
      <c r="A109" s="2121">
        <v>32</v>
      </c>
      <c r="B109" s="2122" t="e">
        <f>'[1]Pagat 2020 Limite mujore'!B104</f>
        <v>#REF!</v>
      </c>
      <c r="C109" s="2154" t="e">
        <f t="shared" ref="C109:C120" si="20">SUM(F109:M109)</f>
        <v>#REF!</v>
      </c>
      <c r="D109" s="2123" t="e">
        <f t="shared" si="18"/>
        <v>#REF!</v>
      </c>
      <c r="E109" s="2108" t="e">
        <f t="shared" si="19"/>
        <v>#REF!</v>
      </c>
      <c r="F109" s="2124" t="e">
        <f>'[1]Pagat 2020 Limite mujore'!S104</f>
        <v>#REF!</v>
      </c>
      <c r="G109" s="2125" t="e">
        <f>'[1]601 2019 Limite mujore'!V104</f>
        <v>#REF!</v>
      </c>
      <c r="H109" s="2124" t="e">
        <f>'[1]602  2019 Shpenz op limit mujor'!S101</f>
        <v>#REF!</v>
      </c>
      <c r="I109" s="2125" t="e">
        <f>'[1]Investimet 2019'!S107</f>
        <v>#REF!</v>
      </c>
      <c r="J109" s="2111" t="e">
        <f>'[1]606  2018 Shp per ind lim mujor'!S107</f>
        <v>#REF!</v>
      </c>
      <c r="K109" s="2126" t="e">
        <f>'[1]Permbledhsja dhe Institucionet '!BV79</f>
        <v>#REF!</v>
      </c>
      <c r="L109" s="2157" t="e">
        <f>'[1]Permbledhsja dhe Institucionet '!BV80</f>
        <v>#REF!</v>
      </c>
      <c r="M109" s="2128" t="e">
        <f>'[1]Permbledhsja dhe Institucionet '!BV81</f>
        <v>#REF!</v>
      </c>
      <c r="N109" s="2128" t="e">
        <f>'[1]Permbledhsja dhe Institucionet '!BV82</f>
        <v>#REF!</v>
      </c>
      <c r="O109" s="2157" t="e">
        <f>'[1]Pagat 2020 Limite mujore'!F104</f>
        <v>#REF!</v>
      </c>
      <c r="P109" s="2110" t="e">
        <f>'[1]601 2019 Limite mujore'!I104</f>
        <v>#REF!</v>
      </c>
      <c r="Q109" s="2109" t="e">
        <f>'[1]602  2019 Shpenz op limit mujor'!F101</f>
        <v>#REF!</v>
      </c>
      <c r="R109" s="2111" t="e">
        <f>'[1]Investimet 2019'!F101</f>
        <v>#REF!</v>
      </c>
      <c r="S109" s="2111" t="e">
        <f>'[1]606  2018 Shp per ind lim mujor'!F107</f>
        <v>#REF!</v>
      </c>
      <c r="T109" s="2126" t="e">
        <f>'[1]Permbledhsja dhe Institucionet '!BW86</f>
        <v>#REF!</v>
      </c>
      <c r="U109" s="2129" t="e">
        <f>'[1]Permbledhsja dhe Institucionet '!BW103</f>
        <v>#REF!</v>
      </c>
      <c r="V109" s="2126" t="e">
        <f>'[1]Permbledhsja dhe Institucionet '!BW106</f>
        <v>#REF!</v>
      </c>
      <c r="W109" s="2169" t="e">
        <f>'[1]Permbledhsja dhe Institucionet '!BW184</f>
        <v>#REF!</v>
      </c>
      <c r="X109" s="2156" t="e">
        <f>'[1]Permbledhsja dhe Institucionet '!BW187</f>
        <v>#REF!</v>
      </c>
      <c r="Y109" s="2125" t="e">
        <f>'[1]Permbledhsja dhe Institucionet '!BW79</f>
        <v>#REF!</v>
      </c>
      <c r="Z109" s="2131" t="e">
        <f>'[1]Permbledhsja dhe Institucionet '!BW80</f>
        <v>#REF!</v>
      </c>
      <c r="AA109" s="2132" t="e">
        <f>'[1]Permbledhsja dhe Institucionet '!BW81</f>
        <v>#REF!</v>
      </c>
      <c r="AB109" s="2126" t="e">
        <f>'[1]Permbledhsja dhe Institucionet '!BW82</f>
        <v>#REF!</v>
      </c>
    </row>
    <row r="110" spans="1:28" ht="16.5">
      <c r="A110" s="2104">
        <v>33</v>
      </c>
      <c r="B110" s="2122" t="e">
        <f>'[1]Pagat 2020 Limite mujore'!B105</f>
        <v>#REF!</v>
      </c>
      <c r="C110" s="2154" t="e">
        <f t="shared" si="20"/>
        <v>#REF!</v>
      </c>
      <c r="D110" s="2123" t="e">
        <f t="shared" si="18"/>
        <v>#REF!</v>
      </c>
      <c r="E110" s="2108" t="e">
        <f t="shared" si="19"/>
        <v>#REF!</v>
      </c>
      <c r="F110" s="2124" t="e">
        <f>'[1]Pagat 2020 Limite mujore'!S105</f>
        <v>#REF!</v>
      </c>
      <c r="G110" s="2125" t="e">
        <f>'[1]601 2019 Limite mujore'!V105</f>
        <v>#REF!</v>
      </c>
      <c r="H110" s="2124" t="e">
        <f>'[1]602  2019 Shpenz op limit mujor'!S102</f>
        <v>#REF!</v>
      </c>
      <c r="I110" s="2125" t="e">
        <f>'[1]Investimet 2019'!S108</f>
        <v>#REF!</v>
      </c>
      <c r="J110" s="2111" t="e">
        <f>'[1]606  2018 Shp per ind lim mujor'!S108</f>
        <v>#REF!</v>
      </c>
      <c r="K110" s="2126" t="e">
        <f>'[1]Permbledhsja dhe Institucionet '!BX79</f>
        <v>#REF!</v>
      </c>
      <c r="L110" s="2157" t="e">
        <f>'[1]Permbledhsja dhe Institucionet '!BX80</f>
        <v>#REF!</v>
      </c>
      <c r="M110" s="2128" t="e">
        <f>'[1]Permbledhsja dhe Institucionet '!BX81</f>
        <v>#REF!</v>
      </c>
      <c r="N110" s="2128" t="e">
        <f>'[1]Permbledhsja dhe Institucionet '!BX82</f>
        <v>#REF!</v>
      </c>
      <c r="O110" s="2157" t="e">
        <f>'[1]Pagat 2020 Limite mujore'!F105</f>
        <v>#REF!</v>
      </c>
      <c r="P110" s="2110" t="e">
        <f>'[1]601 2019 Limite mujore'!I105</f>
        <v>#REF!</v>
      </c>
      <c r="Q110" s="2109" t="e">
        <f>'[1]602  2019 Shpenz op limit mujor'!F102</f>
        <v>#REF!</v>
      </c>
      <c r="R110" s="2111" t="e">
        <f>'[1]Investimet 2019'!F102</f>
        <v>#REF!</v>
      </c>
      <c r="S110" s="2111" t="e">
        <f>'[1]606  2018 Shp per ind lim mujor'!F108</f>
        <v>#REF!</v>
      </c>
      <c r="T110" s="2126" t="e">
        <f>'[1]Permbledhsja dhe Institucionet '!BY86</f>
        <v>#REF!</v>
      </c>
      <c r="U110" s="2129" t="e">
        <f>'[1]Permbledhsja dhe Institucionet '!BY103</f>
        <v>#REF!</v>
      </c>
      <c r="V110" s="2126" t="e">
        <f>'[1]Permbledhsja dhe Institucionet '!BY106</f>
        <v>#REF!</v>
      </c>
      <c r="W110" s="2169" t="e">
        <f>'[1]Permbledhsja dhe Institucionet '!BY184</f>
        <v>#REF!</v>
      </c>
      <c r="X110" s="2156" t="e">
        <f>'[1]Permbledhsja dhe Institucionet '!BY187</f>
        <v>#REF!</v>
      </c>
      <c r="Y110" s="2125" t="e">
        <f>'[1]Permbledhsja dhe Institucionet '!BY79</f>
        <v>#REF!</v>
      </c>
      <c r="Z110" s="2131" t="e">
        <f>'[1]Permbledhsja dhe Institucionet '!BY80</f>
        <v>#REF!</v>
      </c>
      <c r="AA110" s="2132" t="e">
        <f>'[1]Permbledhsja dhe Institucionet '!BY81</f>
        <v>#REF!</v>
      </c>
      <c r="AB110" s="2126" t="e">
        <f>'[1]Permbledhsja dhe Institucionet '!BY82</f>
        <v>#REF!</v>
      </c>
    </row>
    <row r="111" spans="1:28" ht="16.5">
      <c r="A111" s="2121">
        <v>34</v>
      </c>
      <c r="B111" s="2122" t="e">
        <f>'[1]Pagat 2020 Limite mujore'!B106</f>
        <v>#REF!</v>
      </c>
      <c r="C111" s="2154" t="e">
        <f t="shared" si="20"/>
        <v>#REF!</v>
      </c>
      <c r="D111" s="2123" t="e">
        <f t="shared" si="18"/>
        <v>#REF!</v>
      </c>
      <c r="E111" s="2108" t="e">
        <f t="shared" si="19"/>
        <v>#REF!</v>
      </c>
      <c r="F111" s="2124" t="e">
        <f>'[1]Pagat 2020 Limite mujore'!S106</f>
        <v>#REF!</v>
      </c>
      <c r="G111" s="2125" t="e">
        <f>'[1]601 2019 Limite mujore'!V106</f>
        <v>#REF!</v>
      </c>
      <c r="H111" s="2124" t="e">
        <f>'[1]602  2019 Shpenz op limit mujor'!S103</f>
        <v>#REF!</v>
      </c>
      <c r="I111" s="2125" t="e">
        <f>'[1]Investimet 2019'!S109</f>
        <v>#REF!</v>
      </c>
      <c r="J111" s="2111" t="e">
        <f>'[1]606  2018 Shp per ind lim mujor'!S109</f>
        <v>#REF!</v>
      </c>
      <c r="K111" s="2126" t="e">
        <f>'[1]Permbledhsja dhe Institucionet '!BZ79</f>
        <v>#REF!</v>
      </c>
      <c r="L111" s="2157" t="e">
        <f>'[1]Permbledhsja dhe Institucionet '!BZ80</f>
        <v>#REF!</v>
      </c>
      <c r="M111" s="2128" t="e">
        <f>'[1]Permbledhsja dhe Institucionet '!BZ81</f>
        <v>#REF!</v>
      </c>
      <c r="N111" s="2128" t="e">
        <f>'[1]Permbledhsja dhe Institucionet '!BZ82</f>
        <v>#REF!</v>
      </c>
      <c r="O111" s="2157" t="e">
        <f>'[1]Pagat 2020 Limite mujore'!F106</f>
        <v>#REF!</v>
      </c>
      <c r="P111" s="2110" t="e">
        <f>'[1]601 2019 Limite mujore'!I106</f>
        <v>#REF!</v>
      </c>
      <c r="Q111" s="2109" t="e">
        <f>'[1]602  2019 Shpenz op limit mujor'!F103</f>
        <v>#REF!</v>
      </c>
      <c r="R111" s="2111" t="e">
        <f>'[1]Investimet 2019'!F103</f>
        <v>#REF!</v>
      </c>
      <c r="S111" s="2111" t="e">
        <f>'[1]606  2018 Shp per ind lim mujor'!F109</f>
        <v>#REF!</v>
      </c>
      <c r="T111" s="2126" t="e">
        <f>'[1]Permbledhsja dhe Institucionet '!CA86</f>
        <v>#REF!</v>
      </c>
      <c r="U111" s="2129" t="e">
        <f>'[1]Permbledhsja dhe Institucionet '!CA103</f>
        <v>#REF!</v>
      </c>
      <c r="V111" s="2126" t="e">
        <f>'[1]Permbledhsja dhe Institucionet '!CA106</f>
        <v>#REF!</v>
      </c>
      <c r="W111" s="2169" t="e">
        <f>'[1]Permbledhsja dhe Institucionet '!CA184</f>
        <v>#REF!</v>
      </c>
      <c r="X111" s="2156" t="e">
        <f>'[1]Permbledhsja dhe Institucionet '!CA187</f>
        <v>#REF!</v>
      </c>
      <c r="Y111" s="2125" t="e">
        <f>'[1]Permbledhsja dhe Institucionet '!CA79</f>
        <v>#REF!</v>
      </c>
      <c r="Z111" s="2131" t="e">
        <f>'[1]Permbledhsja dhe Institucionet '!CA80</f>
        <v>#REF!</v>
      </c>
      <c r="AA111" s="2132" t="e">
        <f>'[1]Permbledhsja dhe Institucionet '!CA81</f>
        <v>#REF!</v>
      </c>
      <c r="AB111" s="2126" t="e">
        <f>'[1]Permbledhsja dhe Institucionet '!CA82</f>
        <v>#REF!</v>
      </c>
    </row>
    <row r="112" spans="1:28" ht="16.5">
      <c r="A112" s="2104">
        <v>35</v>
      </c>
      <c r="B112" s="2122" t="e">
        <f>'[1]Pagat 2020 Limite mujore'!B107</f>
        <v>#REF!</v>
      </c>
      <c r="C112" s="2154" t="e">
        <f t="shared" si="20"/>
        <v>#REF!</v>
      </c>
      <c r="D112" s="2123" t="e">
        <f t="shared" si="18"/>
        <v>#REF!</v>
      </c>
      <c r="E112" s="2108" t="e">
        <f t="shared" si="19"/>
        <v>#REF!</v>
      </c>
      <c r="F112" s="2124" t="e">
        <f>'[1]Pagat 2020 Limite mujore'!S107</f>
        <v>#REF!</v>
      </c>
      <c r="G112" s="2125" t="e">
        <f>'[1]601 2019 Limite mujore'!V107</f>
        <v>#REF!</v>
      </c>
      <c r="H112" s="2124" t="e">
        <f>'[1]602  2019 Shpenz op limit mujor'!S104</f>
        <v>#REF!</v>
      </c>
      <c r="I112" s="2125" t="e">
        <f>'[1]Investimet 2019'!S110</f>
        <v>#REF!</v>
      </c>
      <c r="J112" s="2111" t="e">
        <f>'[1]606  2018 Shp per ind lim mujor'!S110</f>
        <v>#REF!</v>
      </c>
      <c r="K112" s="2126" t="e">
        <f>'[1]Permbledhsja dhe Institucionet '!CB79</f>
        <v>#REF!</v>
      </c>
      <c r="L112" s="2157" t="e">
        <f>'[1]Permbledhsja dhe Institucionet '!CB80</f>
        <v>#REF!</v>
      </c>
      <c r="M112" s="2128" t="e">
        <f>'[1]Permbledhsja dhe Institucionet '!CB81</f>
        <v>#REF!</v>
      </c>
      <c r="N112" s="2128" t="e">
        <f>'[1]Permbledhsja dhe Institucionet '!CB82</f>
        <v>#REF!</v>
      </c>
      <c r="O112" s="2157" t="e">
        <f>'[1]Pagat 2020 Limite mujore'!F107</f>
        <v>#REF!</v>
      </c>
      <c r="P112" s="2110" t="e">
        <f>'[1]601 2019 Limite mujore'!I107</f>
        <v>#REF!</v>
      </c>
      <c r="Q112" s="2109" t="e">
        <f>'[1]602  2019 Shpenz op limit mujor'!F104</f>
        <v>#REF!</v>
      </c>
      <c r="R112" s="2111" t="e">
        <f>'[1]Investimet 2019'!F104</f>
        <v>#REF!</v>
      </c>
      <c r="S112" s="2111" t="e">
        <f>'[1]606  2018 Shp per ind lim mujor'!F110</f>
        <v>#REF!</v>
      </c>
      <c r="T112" s="2126" t="e">
        <f>'[1]Permbledhsja dhe Institucionet '!CC86</f>
        <v>#REF!</v>
      </c>
      <c r="U112" s="2129" t="e">
        <f>'[1]Permbledhsja dhe Institucionet '!CC103</f>
        <v>#REF!</v>
      </c>
      <c r="V112" s="2126" t="e">
        <f>'[1]Permbledhsja dhe Institucionet '!CC106</f>
        <v>#REF!</v>
      </c>
      <c r="W112" s="2129" t="e">
        <f>'[1]Permbledhsja dhe Institucionet '!CC184</f>
        <v>#REF!</v>
      </c>
      <c r="X112" s="2127" t="e">
        <f>'[1]Permbledhsja dhe Institucionet '!CC187</f>
        <v>#REF!</v>
      </c>
      <c r="Y112" s="2125" t="e">
        <f>'[1]Permbledhsja dhe Institucionet '!CC79</f>
        <v>#REF!</v>
      </c>
      <c r="Z112" s="2131" t="e">
        <f>'[1]Permbledhsja dhe Institucionet '!CC80</f>
        <v>#REF!</v>
      </c>
      <c r="AA112" s="2132" t="e">
        <f>'[1]Permbledhsja dhe Institucionet '!CC81</f>
        <v>#REF!</v>
      </c>
      <c r="AB112" s="2126" t="e">
        <f>'[1]Permbledhsja dhe Institucionet '!CC82</f>
        <v>#REF!</v>
      </c>
    </row>
    <row r="113" spans="1:28" ht="16.5">
      <c r="A113" s="2121">
        <v>36</v>
      </c>
      <c r="B113" s="2122" t="e">
        <f>'[1]Pagat 2020 Limite mujore'!B108</f>
        <v>#REF!</v>
      </c>
      <c r="C113" s="2154" t="e">
        <f t="shared" si="20"/>
        <v>#REF!</v>
      </c>
      <c r="D113" s="2123" t="e">
        <f t="shared" si="18"/>
        <v>#REF!</v>
      </c>
      <c r="E113" s="2108" t="e">
        <f t="shared" si="19"/>
        <v>#REF!</v>
      </c>
      <c r="F113" s="2124" t="e">
        <f>'[1]Pagat 2020 Limite mujore'!S108</f>
        <v>#REF!</v>
      </c>
      <c r="G113" s="2125" t="e">
        <f>'[1]601 2019 Limite mujore'!V108</f>
        <v>#REF!</v>
      </c>
      <c r="H113" s="2124" t="e">
        <f>'[1]602  2019 Shpenz op limit mujor'!S105</f>
        <v>#REF!</v>
      </c>
      <c r="I113" s="2125" t="e">
        <f>'[1]Investimet 2019'!S111</f>
        <v>#REF!</v>
      </c>
      <c r="J113" s="2111" t="e">
        <f>'[1]606  2018 Shp per ind lim mujor'!S111</f>
        <v>#REF!</v>
      </c>
      <c r="K113" s="2126" t="e">
        <f>'[1]Permbledhsja dhe Institucionet '!CD79</f>
        <v>#REF!</v>
      </c>
      <c r="L113" s="2157" t="e">
        <f>'[1]Permbledhsja dhe Institucionet '!CD80</f>
        <v>#REF!</v>
      </c>
      <c r="M113" s="2128" t="e">
        <f>'[1]Permbledhsja dhe Institucionet '!CD81</f>
        <v>#REF!</v>
      </c>
      <c r="N113" s="2128" t="e">
        <f>'[1]Permbledhsja dhe Institucionet '!CD82</f>
        <v>#REF!</v>
      </c>
      <c r="O113" s="2157" t="e">
        <f>'[1]Pagat 2020 Limite mujore'!F108</f>
        <v>#REF!</v>
      </c>
      <c r="P113" s="2110" t="e">
        <f>'[1]601 2019 Limite mujore'!I108</f>
        <v>#REF!</v>
      </c>
      <c r="Q113" s="2109" t="e">
        <f>'[1]602  2019 Shpenz op limit mujor'!F105</f>
        <v>#REF!</v>
      </c>
      <c r="R113" s="2111" t="e">
        <f>'[1]Investimet 2019'!F105</f>
        <v>#REF!</v>
      </c>
      <c r="S113" s="2111" t="e">
        <f>'[1]606  2018 Shp per ind lim mujor'!F111</f>
        <v>#REF!</v>
      </c>
      <c r="T113" s="2126" t="e">
        <f>'[1]Permbledhsja dhe Institucionet '!CE86</f>
        <v>#REF!</v>
      </c>
      <c r="U113" s="2129" t="e">
        <f>'[1]Permbledhsja dhe Institucionet '!CE103</f>
        <v>#REF!</v>
      </c>
      <c r="V113" s="2126" t="e">
        <f>'[1]Permbledhsja dhe Institucionet '!CE106</f>
        <v>#REF!</v>
      </c>
      <c r="W113" s="2169" t="e">
        <f>'[1]Permbledhsja dhe Institucionet '!CE184</f>
        <v>#REF!</v>
      </c>
      <c r="X113" s="2156" t="e">
        <f>'[1]Permbledhsja dhe Institucionet '!CE187</f>
        <v>#REF!</v>
      </c>
      <c r="Y113" s="2126" t="e">
        <f>'[1]Permbledhsja dhe Institucionet '!CE79</f>
        <v>#REF!</v>
      </c>
      <c r="Z113" s="2132" t="e">
        <f>'[1]Permbledhsja dhe Institucionet '!CE80</f>
        <v>#REF!</v>
      </c>
      <c r="AA113" s="2132" t="e">
        <f>'[1]Permbledhsja dhe Institucionet '!CE81</f>
        <v>#REF!</v>
      </c>
      <c r="AB113" s="2126" t="e">
        <f>'[1]Permbledhsja dhe Institucionet '!CE82</f>
        <v>#REF!</v>
      </c>
    </row>
    <row r="114" spans="1:28" ht="16.5">
      <c r="A114" s="2104">
        <v>37</v>
      </c>
      <c r="B114" s="2122" t="e">
        <f>'[1]Pagat 2020 Limite mujore'!B109</f>
        <v>#REF!</v>
      </c>
      <c r="C114" s="2154" t="e">
        <f t="shared" si="20"/>
        <v>#REF!</v>
      </c>
      <c r="D114" s="2123" t="e">
        <f t="shared" si="18"/>
        <v>#REF!</v>
      </c>
      <c r="E114" s="2108" t="e">
        <f t="shared" si="19"/>
        <v>#REF!</v>
      </c>
      <c r="F114" s="2124" t="e">
        <f>'[1]Pagat 2020 Limite mujore'!S109</f>
        <v>#REF!</v>
      </c>
      <c r="G114" s="2125" t="e">
        <f>'[1]601 2019 Limite mujore'!V109</f>
        <v>#REF!</v>
      </c>
      <c r="H114" s="2124" t="e">
        <f>'[1]602  2019 Shpenz op limit mujor'!S106</f>
        <v>#REF!</v>
      </c>
      <c r="I114" s="2125" t="e">
        <f>'[1]Investimet 2019'!S112</f>
        <v>#REF!</v>
      </c>
      <c r="J114" s="2111" t="e">
        <f>'[1]606  2018 Shp per ind lim mujor'!S112</f>
        <v>#REF!</v>
      </c>
      <c r="K114" s="2126" t="e">
        <f>'[1]Permbledhsja dhe Institucionet '!CF79</f>
        <v>#REF!</v>
      </c>
      <c r="L114" s="2157" t="e">
        <f>'[1]Permbledhsja dhe Institucionet '!CF80</f>
        <v>#REF!</v>
      </c>
      <c r="M114" s="2128" t="e">
        <f>'[1]Permbledhsja dhe Institucionet '!CF81</f>
        <v>#REF!</v>
      </c>
      <c r="N114" s="2128" t="e">
        <f>'[1]Permbledhsja dhe Institucionet '!CF82</f>
        <v>#REF!</v>
      </c>
      <c r="O114" s="2157" t="e">
        <f>'[1]Pagat 2020 Limite mujore'!F109</f>
        <v>#REF!</v>
      </c>
      <c r="P114" s="2110" t="e">
        <f>'[1]601 2019 Limite mujore'!I109</f>
        <v>#REF!</v>
      </c>
      <c r="Q114" s="2109" t="e">
        <f>'[1]602  2019 Shpenz op limit mujor'!F106</f>
        <v>#REF!</v>
      </c>
      <c r="R114" s="2111" t="e">
        <f>'[1]Investimet 2019'!F106</f>
        <v>#REF!</v>
      </c>
      <c r="S114" s="2111" t="e">
        <f>'[1]606  2018 Shp per ind lim mujor'!F112</f>
        <v>#REF!</v>
      </c>
      <c r="T114" s="2126" t="e">
        <f>'[1]Permbledhsja dhe Institucionet '!CG86</f>
        <v>#REF!</v>
      </c>
      <c r="U114" s="2129" t="e">
        <f>'[1]Permbledhsja dhe Institucionet '!CG103</f>
        <v>#REF!</v>
      </c>
      <c r="V114" s="2126" t="e">
        <f>'[1]Permbledhsja dhe Institucionet '!CG106</f>
        <v>#REF!</v>
      </c>
      <c r="W114" s="2169" t="e">
        <f>'[1]Permbledhsja dhe Institucionet '!CG184</f>
        <v>#REF!</v>
      </c>
      <c r="X114" s="2156" t="e">
        <f>'[1]Permbledhsja dhe Institucionet '!CG187</f>
        <v>#REF!</v>
      </c>
      <c r="Y114" s="2121" t="e">
        <f>'[1]Permbledhsja dhe Institucionet '!CG79</f>
        <v>#REF!</v>
      </c>
      <c r="Z114" s="2137" t="e">
        <f>'[1]Permbledhsja dhe Institucionet '!CG80</f>
        <v>#REF!</v>
      </c>
      <c r="AA114" s="2132" t="e">
        <f>'[1]Permbledhsja dhe Institucionet '!CG81</f>
        <v>#REF!</v>
      </c>
      <c r="AB114" s="2126" t="e">
        <f>'[1]Permbledhsja dhe Institucionet '!CG82</f>
        <v>#REF!</v>
      </c>
    </row>
    <row r="115" spans="1:28" ht="16.5">
      <c r="A115" s="2121">
        <v>38</v>
      </c>
      <c r="B115" s="2122" t="e">
        <f>'[1]Pagat 2020 Limite mujore'!B110</f>
        <v>#REF!</v>
      </c>
      <c r="C115" s="2154" t="e">
        <f t="shared" si="20"/>
        <v>#REF!</v>
      </c>
      <c r="D115" s="2123" t="e">
        <f t="shared" si="18"/>
        <v>#REF!</v>
      </c>
      <c r="E115" s="2108" t="e">
        <f t="shared" si="19"/>
        <v>#REF!</v>
      </c>
      <c r="F115" s="2124" t="e">
        <f>'[1]Pagat 2020 Limite mujore'!S110</f>
        <v>#REF!</v>
      </c>
      <c r="G115" s="2125" t="e">
        <f>'[1]601 2019 Limite mujore'!V110</f>
        <v>#REF!</v>
      </c>
      <c r="H115" s="2124" t="e">
        <f>'[1]602  2019 Shpenz op limit mujor'!S107</f>
        <v>#REF!</v>
      </c>
      <c r="I115" s="2125" t="e">
        <f>'[1]Investimet 2019'!S113</f>
        <v>#REF!</v>
      </c>
      <c r="J115" s="2111" t="e">
        <f>'[1]606  2018 Shp per ind lim mujor'!S113</f>
        <v>#REF!</v>
      </c>
      <c r="K115" s="2126" t="e">
        <f>'[1]Permbledhsja dhe Institucionet '!CH79</f>
        <v>#REF!</v>
      </c>
      <c r="L115" s="2157" t="e">
        <f>'[1]Permbledhsja dhe Institucionet '!CH80</f>
        <v>#REF!</v>
      </c>
      <c r="M115" s="2128" t="e">
        <f>'[1]Permbledhsja dhe Institucionet '!CH81</f>
        <v>#REF!</v>
      </c>
      <c r="N115" s="2128" t="e">
        <f>'[1]Permbledhsja dhe Institucionet '!CH82</f>
        <v>#REF!</v>
      </c>
      <c r="O115" s="2157" t="e">
        <f>'[1]Pagat 2020 Limite mujore'!F110</f>
        <v>#REF!</v>
      </c>
      <c r="P115" s="2110" t="e">
        <f>'[1]601 2019 Limite mujore'!I110</f>
        <v>#REF!</v>
      </c>
      <c r="Q115" s="2109" t="e">
        <f>'[1]602  2019 Shpenz op limit mujor'!F107</f>
        <v>#REF!</v>
      </c>
      <c r="R115" s="2111" t="e">
        <f>'[1]Investimet 2019'!F107</f>
        <v>#REF!</v>
      </c>
      <c r="S115" s="2111" t="e">
        <f>'[1]606  2018 Shp per ind lim mujor'!F113</f>
        <v>#REF!</v>
      </c>
      <c r="T115" s="2126" t="e">
        <f>'[1]Permbledhsja dhe Institucionet '!CI86</f>
        <v>#REF!</v>
      </c>
      <c r="U115" s="2129" t="e">
        <f>'[1]Permbledhsja dhe Institucionet '!CI103</f>
        <v>#REF!</v>
      </c>
      <c r="V115" s="2126" t="e">
        <f>'[1]Permbledhsja dhe Institucionet '!CI106</f>
        <v>#REF!</v>
      </c>
      <c r="W115" s="2169" t="e">
        <f>'[1]Permbledhsja dhe Institucionet '!CI184</f>
        <v>#REF!</v>
      </c>
      <c r="X115" s="2156" t="e">
        <f>'[1]Permbledhsja dhe Institucionet '!CI187</f>
        <v>#REF!</v>
      </c>
      <c r="Y115" s="2125" t="e">
        <f>'[1]Permbledhsja dhe Institucionet '!CI79</f>
        <v>#REF!</v>
      </c>
      <c r="Z115" s="2131" t="e">
        <f>'[1]Permbledhsja dhe Institucionet '!CI80</f>
        <v>#REF!</v>
      </c>
      <c r="AA115" s="2132" t="e">
        <f>'[1]Permbledhsja dhe Institucionet '!CI81</f>
        <v>#REF!</v>
      </c>
      <c r="AB115" s="2126" t="e">
        <f>'[1]Permbledhsja dhe Institucionet '!CI82</f>
        <v>#REF!</v>
      </c>
    </row>
    <row r="116" spans="1:28" ht="16.5">
      <c r="A116" s="2104">
        <v>39</v>
      </c>
      <c r="B116" s="2122" t="e">
        <f>'[1]Pagat 2020 Limite mujore'!B111</f>
        <v>#REF!</v>
      </c>
      <c r="C116" s="2154" t="e">
        <f t="shared" si="20"/>
        <v>#REF!</v>
      </c>
      <c r="D116" s="2123" t="e">
        <f t="shared" si="18"/>
        <v>#REF!</v>
      </c>
      <c r="E116" s="2108" t="e">
        <f t="shared" si="19"/>
        <v>#REF!</v>
      </c>
      <c r="F116" s="2124" t="e">
        <f>'[1]Pagat 2020 Limite mujore'!S111</f>
        <v>#REF!</v>
      </c>
      <c r="G116" s="2125" t="e">
        <f>'[1]601 2019 Limite mujore'!V111</f>
        <v>#REF!</v>
      </c>
      <c r="H116" s="2124" t="e">
        <f>'[1]602  2019 Shpenz op limit mujor'!S108</f>
        <v>#REF!</v>
      </c>
      <c r="I116" s="2125" t="e">
        <f>'[1]Investimet 2019'!S114</f>
        <v>#REF!</v>
      </c>
      <c r="J116" s="2111" t="e">
        <f>'[1]606  2018 Shp per ind lim mujor'!S114</f>
        <v>#REF!</v>
      </c>
      <c r="K116" s="2126" t="e">
        <f>'[1]Permbledhsja dhe Institucionet '!CJ79</f>
        <v>#REF!</v>
      </c>
      <c r="L116" s="2157" t="e">
        <f>'[1]Permbledhsja dhe Institucionet '!CJ80</f>
        <v>#REF!</v>
      </c>
      <c r="M116" s="2128" t="e">
        <f>'[1]Permbledhsja dhe Institucionet '!CJ81</f>
        <v>#REF!</v>
      </c>
      <c r="N116" s="2128" t="e">
        <f>'[1]Permbledhsja dhe Institucionet '!CJ82</f>
        <v>#REF!</v>
      </c>
      <c r="O116" s="2157" t="e">
        <f>'[1]Pagat 2020 Limite mujore'!F111</f>
        <v>#REF!</v>
      </c>
      <c r="P116" s="2110" t="e">
        <f>'[1]601 2019 Limite mujore'!I111</f>
        <v>#REF!</v>
      </c>
      <c r="Q116" s="2109" t="e">
        <f>'[1]602  2019 Shpenz op limit mujor'!F108</f>
        <v>#REF!</v>
      </c>
      <c r="R116" s="2111" t="e">
        <f>'[1]Investimet 2019'!F108</f>
        <v>#REF!</v>
      </c>
      <c r="S116" s="2111" t="e">
        <f>'[1]606  2018 Shp per ind lim mujor'!F114</f>
        <v>#REF!</v>
      </c>
      <c r="T116" s="2126" t="e">
        <f>'[1]Permbledhsja dhe Institucionet '!CK86</f>
        <v>#REF!</v>
      </c>
      <c r="U116" s="2129" t="e">
        <f>'[1]Permbledhsja dhe Institucionet '!CK103</f>
        <v>#REF!</v>
      </c>
      <c r="V116" s="2126" t="e">
        <f>'[1]Permbledhsja dhe Institucionet '!CK106</f>
        <v>#REF!</v>
      </c>
      <c r="W116" s="2169" t="e">
        <f>'[1]Permbledhsja dhe Institucionet '!CK184</f>
        <v>#REF!</v>
      </c>
      <c r="X116" s="2156" t="e">
        <f>'[1]Permbledhsja dhe Institucionet '!CK187</f>
        <v>#REF!</v>
      </c>
      <c r="Y116" s="2125" t="e">
        <f>'[1]Permbledhsja dhe Institucionet '!CK79</f>
        <v>#REF!</v>
      </c>
      <c r="Z116" s="2131" t="e">
        <f>'[1]Permbledhsja dhe Institucionet '!CK80</f>
        <v>#REF!</v>
      </c>
      <c r="AA116" s="2132" t="e">
        <f>'[1]Permbledhsja dhe Institucionet '!CK81</f>
        <v>#REF!</v>
      </c>
      <c r="AB116" s="2126" t="e">
        <f>'[1]Permbledhsja dhe Institucionet '!CK82</f>
        <v>#REF!</v>
      </c>
    </row>
    <row r="117" spans="1:28" ht="16.5">
      <c r="A117" s="2121">
        <v>40</v>
      </c>
      <c r="B117" s="2122" t="e">
        <f>'[1]Pagat 2020 Limite mujore'!B112</f>
        <v>#REF!</v>
      </c>
      <c r="C117" s="2154" t="e">
        <f t="shared" si="20"/>
        <v>#REF!</v>
      </c>
      <c r="D117" s="2123" t="e">
        <f t="shared" si="18"/>
        <v>#REF!</v>
      </c>
      <c r="E117" s="2108" t="e">
        <f t="shared" si="19"/>
        <v>#REF!</v>
      </c>
      <c r="F117" s="2124" t="e">
        <f>'[1]Pagat 2020 Limite mujore'!S112</f>
        <v>#REF!</v>
      </c>
      <c r="G117" s="2125" t="e">
        <f>'[1]601 2019 Limite mujore'!V112</f>
        <v>#REF!</v>
      </c>
      <c r="H117" s="2124" t="e">
        <f>'[1]602  2019 Shpenz op limit mujor'!S109</f>
        <v>#REF!</v>
      </c>
      <c r="I117" s="2125" t="e">
        <f>'[1]Investimet 2019'!S115</f>
        <v>#REF!</v>
      </c>
      <c r="J117" s="2111" t="e">
        <f>'[1]606  2018 Shp per ind lim mujor'!S115</f>
        <v>#REF!</v>
      </c>
      <c r="K117" s="2120" t="e">
        <f>'[1]Permbledhsja dhe Institucionet '!CL79</f>
        <v>#REF!</v>
      </c>
      <c r="L117" s="2157" t="e">
        <f>'[1]Permbledhsja dhe Institucionet '!CL80</f>
        <v>#REF!</v>
      </c>
      <c r="M117" s="2128" t="e">
        <f>'[1]Permbledhsja dhe Institucionet '!CL81</f>
        <v>#REF!</v>
      </c>
      <c r="N117" s="2128" t="e">
        <f>'[1]Permbledhsja dhe Institucionet '!CL82</f>
        <v>#REF!</v>
      </c>
      <c r="O117" s="2157" t="e">
        <f>'[1]Pagat 2020 Limite mujore'!F112</f>
        <v>#REF!</v>
      </c>
      <c r="P117" s="2110" t="e">
        <f>'[1]601 2019 Limite mujore'!I112</f>
        <v>#REF!</v>
      </c>
      <c r="Q117" s="2109" t="e">
        <f>'[1]602  2019 Shpenz op limit mujor'!F109</f>
        <v>#REF!</v>
      </c>
      <c r="R117" s="2111" t="e">
        <f>'[1]Investimet 2019'!F109</f>
        <v>#REF!</v>
      </c>
      <c r="S117" s="2111" t="e">
        <f>'[1]606  2018 Shp per ind lim mujor'!F115</f>
        <v>#REF!</v>
      </c>
      <c r="T117" s="2120" t="e">
        <f>'[1]Permbledhsja dhe Institucionet '!CM86</f>
        <v>#REF!</v>
      </c>
      <c r="U117" s="2169" t="e">
        <f>'[1]Permbledhsja dhe Institucionet '!CM103</f>
        <v>#REF!</v>
      </c>
      <c r="V117" s="2120" t="e">
        <f>'[1]Permbledhsja dhe Institucionet '!CM106</f>
        <v>#REF!</v>
      </c>
      <c r="W117" s="2169" t="e">
        <f>'[1]Permbledhsja dhe Institucionet '!CM184</f>
        <v>#REF!</v>
      </c>
      <c r="X117" s="2156" t="e">
        <f>'[1]Permbledhsja dhe Institucionet '!CM187</f>
        <v>#REF!</v>
      </c>
      <c r="Y117" s="2125" t="e">
        <f>'[1]Permbledhsja dhe Institucionet '!CM79</f>
        <v>#REF!</v>
      </c>
      <c r="Z117" s="2131" t="e">
        <f>'[1]Permbledhsja dhe Institucionet '!CM80</f>
        <v>#REF!</v>
      </c>
      <c r="AA117" s="2119" t="e">
        <f>'[1]Permbledhsja dhe Institucionet '!CM81</f>
        <v>#REF!</v>
      </c>
      <c r="AB117" s="2120" t="e">
        <f>'[1]Permbledhsja dhe Institucionet '!CM82</f>
        <v>#REF!</v>
      </c>
    </row>
    <row r="118" spans="1:28" ht="16.5">
      <c r="A118" s="2104">
        <v>41</v>
      </c>
      <c r="B118" s="2122" t="e">
        <f>'[1]Pagat 2020 Limite mujore'!B113</f>
        <v>#REF!</v>
      </c>
      <c r="C118" s="2154" t="e">
        <f t="shared" si="20"/>
        <v>#REF!</v>
      </c>
      <c r="D118" s="2123" t="e">
        <f t="shared" si="18"/>
        <v>#REF!</v>
      </c>
      <c r="E118" s="2108" t="e">
        <f t="shared" si="19"/>
        <v>#REF!</v>
      </c>
      <c r="F118" s="2124" t="e">
        <f>'[1]Pagat 2020 Limite mujore'!S113</f>
        <v>#REF!</v>
      </c>
      <c r="G118" s="2125" t="e">
        <f>'[1]601 2019 Limite mujore'!V113</f>
        <v>#REF!</v>
      </c>
      <c r="H118" s="2124" t="e">
        <f>'[1]602  2019 Shpenz op limit mujor'!S110</f>
        <v>#REF!</v>
      </c>
      <c r="I118" s="2125" t="e">
        <f>'[1]Investimet 2019'!S116</f>
        <v>#REF!</v>
      </c>
      <c r="J118" s="2111" t="e">
        <f>'[1]606  2018 Shp per ind lim mujor'!S116</f>
        <v>#REF!</v>
      </c>
      <c r="K118" s="2126" t="e">
        <f>'[1]Permbledhsja dhe Institucionet '!CN79</f>
        <v>#REF!</v>
      </c>
      <c r="L118" s="2157" t="e">
        <f>'[1]Permbledhsja dhe Institucionet '!CN80</f>
        <v>#REF!</v>
      </c>
      <c r="M118" s="2128" t="e">
        <f>'[1]Permbledhsja dhe Institucionet '!CN81</f>
        <v>#REF!</v>
      </c>
      <c r="N118" s="2128" t="e">
        <f>'[1]Permbledhsja dhe Institucionet '!CN82</f>
        <v>#REF!</v>
      </c>
      <c r="O118" s="2157" t="e">
        <f>'[1]Pagat 2020 Limite mujore'!F113</f>
        <v>#REF!</v>
      </c>
      <c r="P118" s="2110" t="e">
        <f>'[1]601 2019 Limite mujore'!I113</f>
        <v>#REF!</v>
      </c>
      <c r="Q118" s="2109" t="e">
        <f>'[1]602  2019 Shpenz op limit mujor'!F110</f>
        <v>#REF!</v>
      </c>
      <c r="R118" s="2111" t="e">
        <f>'[1]Investimet 2019'!F110</f>
        <v>#REF!</v>
      </c>
      <c r="S118" s="2111" t="e">
        <f>'[1]606  2018 Shp per ind lim mujor'!F116</f>
        <v>#REF!</v>
      </c>
      <c r="T118" s="2126" t="e">
        <f>'[1]Permbledhsja dhe Institucionet '!CO86</f>
        <v>#REF!</v>
      </c>
      <c r="U118" s="2129" t="e">
        <f>'[1]Permbledhsja dhe Institucionet '!CO103</f>
        <v>#REF!</v>
      </c>
      <c r="V118" s="2126" t="e">
        <f>'[1]Permbledhsja dhe Institucionet '!CO106</f>
        <v>#REF!</v>
      </c>
      <c r="W118" s="2169" t="e">
        <f>'[1]Permbledhsja dhe Institucionet '!CO184</f>
        <v>#REF!</v>
      </c>
      <c r="X118" s="2156" t="e">
        <f>'[1]Permbledhsja dhe Institucionet '!CO187</f>
        <v>#REF!</v>
      </c>
      <c r="Y118" s="2125" t="e">
        <f>'[1]Permbledhsja dhe Institucionet '!CO79</f>
        <v>#REF!</v>
      </c>
      <c r="Z118" s="2131" t="e">
        <f>'[1]Permbledhsja dhe Institucionet '!CO80</f>
        <v>#REF!</v>
      </c>
      <c r="AA118" s="2132" t="e">
        <f>'[1]Permbledhsja dhe Institucionet '!CO81</f>
        <v>#REF!</v>
      </c>
      <c r="AB118" s="2126" t="e">
        <f>'[1]Permbledhsja dhe Institucionet '!CO82</f>
        <v>#REF!</v>
      </c>
    </row>
    <row r="119" spans="1:28" ht="17.25" thickBot="1">
      <c r="A119" s="2147">
        <v>42</v>
      </c>
      <c r="B119" s="2181" t="e">
        <f>'[1]Pagat 2020 Limite mujore'!B114</f>
        <v>#REF!</v>
      </c>
      <c r="C119" s="2199" t="e">
        <f t="shared" si="20"/>
        <v>#REF!</v>
      </c>
      <c r="D119" s="2139" t="e">
        <f t="shared" si="18"/>
        <v>#REF!</v>
      </c>
      <c r="E119" s="2200" t="e">
        <f>T119+U119+V119+W119+X119</f>
        <v>#REF!</v>
      </c>
      <c r="F119" s="2171" t="e">
        <f>'[1]Pagat 2020 Limite mujore'!S114</f>
        <v>#REF!</v>
      </c>
      <c r="G119" s="2172" t="e">
        <f>'[1]601 2019 Limite mujore'!V114</f>
        <v>#REF!</v>
      </c>
      <c r="H119" s="2171" t="e">
        <f>'[1]602  2019 Shpenz op limit mujor'!S111</f>
        <v>#REF!</v>
      </c>
      <c r="I119" s="2172" t="e">
        <f>'[1]Investimet 2019'!S117</f>
        <v>#REF!</v>
      </c>
      <c r="J119" s="2142" t="e">
        <f>'[1]606  2018 Shp per ind lim mujor'!S117</f>
        <v>#REF!</v>
      </c>
      <c r="K119" s="2150" t="e">
        <f>'[1]Permbledhsja dhe Institucionet '!CP79</f>
        <v>#REF!</v>
      </c>
      <c r="L119" s="2146" t="e">
        <f>'[1]Permbledhsja dhe Institucionet '!CP80</f>
        <v>#REF!</v>
      </c>
      <c r="M119" s="2172" t="e">
        <f>'[1]Permbledhsja dhe Institucionet '!CP81</f>
        <v>#REF!</v>
      </c>
      <c r="N119" s="2172"/>
      <c r="O119" s="2146" t="e">
        <f>'[1]Pagat 2020 Limite mujore'!F114</f>
        <v>#REF!</v>
      </c>
      <c r="P119" s="2141" t="e">
        <f>'[1]601 2019 Limite mujore'!I114</f>
        <v>#REF!</v>
      </c>
      <c r="Q119" s="2140" t="e">
        <f>'[1]602  2019 Shpenz op limit mujor'!F111</f>
        <v>#REF!</v>
      </c>
      <c r="R119" s="2142" t="e">
        <f>'[1]Investimet 2019'!F111</f>
        <v>#REF!</v>
      </c>
      <c r="S119" s="2142" t="e">
        <f>'[1]606  2018 Shp per ind lim mujor'!F117</f>
        <v>#REF!</v>
      </c>
      <c r="T119" s="2150" t="e">
        <f>'[1]Permbledhsja dhe Institucionet '!CQ86</f>
        <v>#REF!</v>
      </c>
      <c r="U119" s="2145" t="e">
        <f>'[1]Permbledhsja dhe Institucionet '!CQ103</f>
        <v>#REF!</v>
      </c>
      <c r="V119" s="2150" t="e">
        <f>'[1]Permbledhsja dhe Institucionet '!CQ106</f>
        <v>#REF!</v>
      </c>
      <c r="W119" s="2145" t="e">
        <f>'[1]Permbledhsja dhe Institucionet '!CQ184</f>
        <v>#REF!</v>
      </c>
      <c r="X119" s="2164" t="e">
        <f>'[1]Permbledhsja dhe Institucionet '!CQ187</f>
        <v>#REF!</v>
      </c>
      <c r="Y119" s="2201" t="e">
        <f>'[1]Permbledhsja dhe Institucionet '!CQ79</f>
        <v>#REF!</v>
      </c>
      <c r="Z119" s="2202" t="e">
        <f>'[1]Permbledhsja dhe Institucionet '!CQ80</f>
        <v>#REF!</v>
      </c>
      <c r="AA119" s="2149" t="e">
        <f>'[1]Permbledhsja dhe Institucionet '!CQ81</f>
        <v>#REF!</v>
      </c>
      <c r="AB119" s="2150" t="e">
        <f>'[1]Permbledhsja dhe Institucionet '!CQ82</f>
        <v>#REF!</v>
      </c>
    </row>
    <row r="120" spans="1:28" ht="17.25" thickBot="1">
      <c r="A120" s="2151">
        <v>43</v>
      </c>
      <c r="B120" s="2185" t="s">
        <v>2742</v>
      </c>
      <c r="C120" s="2153" t="e">
        <f t="shared" si="20"/>
        <v>#REF!</v>
      </c>
      <c r="D120" s="2203" t="e">
        <f t="shared" si="18"/>
        <v>#REF!</v>
      </c>
      <c r="E120" s="2204" t="e">
        <f>T120+U120+V120+W120+X120</f>
        <v>#REF!</v>
      </c>
      <c r="F120" s="2152" t="e">
        <f>'[1]Pagat 2020 Limite mujore'!S115</f>
        <v>#REF!</v>
      </c>
      <c r="G120" s="2193" t="e">
        <f>'[1]601 2019 Limite mujore'!V115</f>
        <v>#REF!</v>
      </c>
      <c r="H120" s="2152" t="e">
        <f>'[1]602  2019 Shpenz op limit mujor'!S112</f>
        <v>#REF!</v>
      </c>
      <c r="I120" s="2193" t="e">
        <f>'[1]Investimet 2019'!S112</f>
        <v>#REF!</v>
      </c>
      <c r="J120" s="2205" t="e">
        <f>'[1]606  2018 Shp per ind lim mujor'!S118</f>
        <v>#REF!</v>
      </c>
      <c r="K120" s="2206" t="e">
        <f>'[1]Permbledhsja dhe Institucionet '!CR79</f>
        <v>#REF!</v>
      </c>
      <c r="L120" s="2207" t="e">
        <f>'[1]Permbledhsja dhe Institucionet '!CR80</f>
        <v>#REF!</v>
      </c>
      <c r="M120" s="2193" t="e">
        <f>'[1]Permbledhsja dhe Institucionet '!CR81</f>
        <v>#REF!</v>
      </c>
      <c r="N120" s="2193" t="e">
        <f>'[1]Permbledhsja dhe Institucionet '!CR82</f>
        <v>#REF!</v>
      </c>
      <c r="O120" s="2207" t="e">
        <f>'[1]Pagat 2020 Limite mujore'!F115</f>
        <v>#REF!</v>
      </c>
      <c r="P120" s="2208" t="e">
        <f>'[1]601 2019 Limite mujore'!I115</f>
        <v>#REF!</v>
      </c>
      <c r="Q120" s="2209" t="e">
        <f>'[1]602  2019 Shpenz op limit mujor'!F112</f>
        <v>#REF!</v>
      </c>
      <c r="R120" s="2205" t="e">
        <f>'[1]Investimet 2019'!F112</f>
        <v>#REF!</v>
      </c>
      <c r="S120" s="2205" t="e">
        <f>'[1]606  2018 Shp per ind lim mujor'!F118</f>
        <v>#REF!</v>
      </c>
      <c r="T120" s="2206" t="e">
        <f>'[1]Permbledhsja dhe Institucionet '!CS86</f>
        <v>#REF!</v>
      </c>
      <c r="U120" s="2210" t="e">
        <f>'[1]Permbledhsja dhe Institucionet '!CS103</f>
        <v>#REF!</v>
      </c>
      <c r="V120" s="2206" t="e">
        <f>'[1]Permbledhsja dhe Institucionet '!CS106</f>
        <v>#REF!</v>
      </c>
      <c r="W120" s="2210" t="e">
        <f>'[1]Permbledhsja dhe Institucionet '!CS184</f>
        <v>#REF!</v>
      </c>
      <c r="X120" s="2192" t="e">
        <f>'[1]Permbledhsja dhe Institucionet '!CS187</f>
        <v>#REF!</v>
      </c>
      <c r="Y120" s="2211" t="e">
        <f>'[1]Permbledhsja dhe Institucionet '!CS79</f>
        <v>#REF!</v>
      </c>
      <c r="Z120" s="2212" t="e">
        <f>'[1]Permbledhsja dhe Institucionet '!CS80</f>
        <v>#REF!</v>
      </c>
      <c r="AA120" s="2195" t="e">
        <f>'[1]Permbledhsja dhe Institucionet '!CS81</f>
        <v>#REF!</v>
      </c>
      <c r="AB120" s="2206" t="e">
        <f>'[1]Permbledhsja dhe Institucionet '!CS82</f>
        <v>#REF!</v>
      </c>
    </row>
    <row r="121" spans="1:28" ht="17.25" thickBot="1">
      <c r="A121" s="2213"/>
      <c r="B121" s="2152" t="s">
        <v>82</v>
      </c>
      <c r="C121" s="2153" t="e">
        <f>SUM(C105+C106+C107+C120)</f>
        <v>#REF!</v>
      </c>
      <c r="D121" s="2153" t="e">
        <f t="shared" ref="D121:AA121" si="21">SUM(D105+D106+D107+D120)</f>
        <v>#REF!</v>
      </c>
      <c r="E121" s="2153" t="e">
        <f t="shared" si="21"/>
        <v>#REF!</v>
      </c>
      <c r="F121" s="2153" t="e">
        <f t="shared" si="21"/>
        <v>#REF!</v>
      </c>
      <c r="G121" s="2153" t="e">
        <f t="shared" si="21"/>
        <v>#REF!</v>
      </c>
      <c r="H121" s="2153" t="e">
        <f t="shared" si="21"/>
        <v>#REF!</v>
      </c>
      <c r="I121" s="2153" t="e">
        <f t="shared" si="21"/>
        <v>#REF!</v>
      </c>
      <c r="J121" s="2153" t="e">
        <f t="shared" si="21"/>
        <v>#REF!</v>
      </c>
      <c r="K121" s="2153" t="e">
        <f t="shared" si="21"/>
        <v>#REF!</v>
      </c>
      <c r="L121" s="2153" t="e">
        <f t="shared" si="21"/>
        <v>#REF!</v>
      </c>
      <c r="M121" s="2153" t="e">
        <f t="shared" si="21"/>
        <v>#REF!</v>
      </c>
      <c r="N121" s="2153" t="e">
        <f t="shared" si="21"/>
        <v>#REF!</v>
      </c>
      <c r="O121" s="2153" t="e">
        <f t="shared" si="21"/>
        <v>#REF!</v>
      </c>
      <c r="P121" s="2153" t="e">
        <f t="shared" si="21"/>
        <v>#REF!</v>
      </c>
      <c r="Q121" s="2153" t="e">
        <f t="shared" si="21"/>
        <v>#REF!</v>
      </c>
      <c r="R121" s="2153" t="e">
        <f t="shared" si="21"/>
        <v>#REF!</v>
      </c>
      <c r="S121" s="2153" t="e">
        <f t="shared" si="21"/>
        <v>#REF!</v>
      </c>
      <c r="T121" s="2153" t="e">
        <f>SUM(T105+T106+T107+T120)</f>
        <v>#REF!</v>
      </c>
      <c r="U121" s="2153" t="e">
        <f t="shared" si="21"/>
        <v>#REF!</v>
      </c>
      <c r="V121" s="2153" t="e">
        <f t="shared" si="21"/>
        <v>#REF!</v>
      </c>
      <c r="W121" s="2153" t="e">
        <f t="shared" si="21"/>
        <v>#REF!</v>
      </c>
      <c r="X121" s="2153" t="e">
        <f t="shared" si="21"/>
        <v>#REF!</v>
      </c>
      <c r="Y121" s="2153" t="e">
        <f t="shared" si="21"/>
        <v>#REF!</v>
      </c>
      <c r="Z121" s="2153" t="e">
        <f>SUM(Z105+Z106+Z107+Z120)</f>
        <v>#REF!</v>
      </c>
      <c r="AA121" s="2153" t="e">
        <f t="shared" si="21"/>
        <v>#REF!</v>
      </c>
      <c r="AB121" s="2153" t="e">
        <f>SUM(AB105+AB106+AB107+AB120)</f>
        <v>#REF!</v>
      </c>
    </row>
    <row r="122" spans="1:28" ht="16.5">
      <c r="A122" s="2214">
        <v>1</v>
      </c>
      <c r="B122" s="2105" t="s">
        <v>2743</v>
      </c>
      <c r="C122" s="2154" t="e">
        <f>SUM(F122:M122)</f>
        <v>#REF!</v>
      </c>
      <c r="D122" s="2215" t="e">
        <f>SUM(O122:S122)</f>
        <v>#REF!</v>
      </c>
      <c r="E122" s="2216" t="e">
        <f>X122</f>
        <v>#REF!</v>
      </c>
      <c r="F122" s="2115"/>
      <c r="G122" s="2217"/>
      <c r="H122" s="2115"/>
      <c r="I122" s="2217"/>
      <c r="J122" s="2115" t="e">
        <f>'[1]606  2018 Shp per ind lim mujor'!S101+'[1]6061003 Nd Ek,  2019'!S69</f>
        <v>#REF!</v>
      </c>
      <c r="K122" s="2217"/>
      <c r="L122" s="2115"/>
      <c r="M122" s="2217"/>
      <c r="N122" s="2115"/>
      <c r="O122" s="2218"/>
      <c r="P122" s="2219"/>
      <c r="Q122" s="2218"/>
      <c r="R122" s="2219"/>
      <c r="S122" s="2115" t="e">
        <f>'[1]6061003 Nd Ek,  2019'!F69</f>
        <v>#REF!</v>
      </c>
      <c r="T122" s="2220"/>
      <c r="U122" s="2221"/>
      <c r="V122" s="2220"/>
      <c r="W122" s="2222"/>
      <c r="X122" s="2217" t="e">
        <f>'[1]6061003 Nd Ek,  2019'!AF69</f>
        <v>#REF!</v>
      </c>
      <c r="Y122" s="2115"/>
      <c r="Z122" s="2217"/>
      <c r="AA122" s="2222"/>
      <c r="AB122" s="2222"/>
    </row>
    <row r="123" spans="1:28" ht="16.5">
      <c r="A123" s="2223">
        <v>2</v>
      </c>
      <c r="B123" s="2224" t="s">
        <v>2744</v>
      </c>
      <c r="C123" s="2154" t="e">
        <f t="shared" ref="C123:C127" si="22">SUM(F123:M123)</f>
        <v>#REF!</v>
      </c>
      <c r="D123" s="2225" t="e">
        <f t="shared" ref="D123:D127" si="23">SUM(O123:S123)</f>
        <v>#REF!</v>
      </c>
      <c r="E123" s="2226" t="e">
        <f>X123</f>
        <v>#REF!</v>
      </c>
      <c r="F123" s="2227"/>
      <c r="G123" s="2228"/>
      <c r="H123" s="2227"/>
      <c r="I123" s="2228"/>
      <c r="J123" s="2229" t="e">
        <f>'[1]606  2018 Shp per ind lim mujor'!S102+'[1]6061004 PAK, 2019'!S69</f>
        <v>#REF!</v>
      </c>
      <c r="K123" s="2228"/>
      <c r="L123" s="2227"/>
      <c r="M123" s="2230"/>
      <c r="N123" s="2229"/>
      <c r="O123" s="2231"/>
      <c r="P123" s="2232"/>
      <c r="Q123" s="2231"/>
      <c r="R123" s="2233"/>
      <c r="S123" s="2229" t="e">
        <f>'[1]6061004 PAK, 2019'!F69</f>
        <v>#REF!</v>
      </c>
      <c r="T123" s="2234"/>
      <c r="U123" s="2235"/>
      <c r="V123" s="2234"/>
      <c r="W123" s="2236"/>
      <c r="X123" s="2230" t="e">
        <f>'[1]6061004 PAK, 2019'!AF69</f>
        <v>#REF!</v>
      </c>
      <c r="Y123" s="2227"/>
      <c r="Z123" s="2228"/>
      <c r="AA123" s="2237"/>
      <c r="AB123" s="2237"/>
    </row>
    <row r="124" spans="1:28" ht="16.5">
      <c r="A124" s="2223">
        <v>3</v>
      </c>
      <c r="B124" s="2224" t="s">
        <v>2745</v>
      </c>
      <c r="C124" s="2154" t="e">
        <f t="shared" si="22"/>
        <v>#REF!</v>
      </c>
      <c r="D124" s="2225" t="e">
        <f t="shared" si="23"/>
        <v>#REF!</v>
      </c>
      <c r="E124" s="2226" t="e">
        <f>X124</f>
        <v>#REF!</v>
      </c>
      <c r="F124" s="2227"/>
      <c r="G124" s="2228"/>
      <c r="H124" s="2227"/>
      <c r="I124" s="2228"/>
      <c r="J124" s="2128" t="e">
        <f>'[1]606  2018 Shp per ind lim mujor'!S100</f>
        <v>#REF!</v>
      </c>
      <c r="K124" s="2228"/>
      <c r="L124" s="2227"/>
      <c r="M124" s="2230"/>
      <c r="N124" s="2229"/>
      <c r="O124" s="2231"/>
      <c r="P124" s="2232"/>
      <c r="Q124" s="2231"/>
      <c r="R124" s="2233"/>
      <c r="S124" s="2229" t="e">
        <f>'[1]bonusi i bebes  plani '!F70</f>
        <v>#REF!</v>
      </c>
      <c r="T124" s="2234"/>
      <c r="U124" s="2235"/>
      <c r="V124" s="2234"/>
      <c r="W124" s="2236"/>
      <c r="X124" s="2230" t="e">
        <f>'[1]Permbledhsja dhe Institucionet '!BS193</f>
        <v>#REF!</v>
      </c>
      <c r="Y124" s="2227"/>
      <c r="Z124" s="2228"/>
      <c r="AA124" s="2237"/>
      <c r="AB124" s="2237"/>
    </row>
    <row r="125" spans="1:28" ht="16.5">
      <c r="A125" s="2223"/>
      <c r="B125" s="2224" t="s">
        <v>2746</v>
      </c>
      <c r="C125" s="2154" t="e">
        <f t="shared" si="22"/>
        <v>#REF!</v>
      </c>
      <c r="D125" s="2225">
        <f t="shared" si="23"/>
        <v>0</v>
      </c>
      <c r="E125" s="2224"/>
      <c r="F125" s="2238"/>
      <c r="G125" s="2224"/>
      <c r="H125" s="2238"/>
      <c r="I125" s="2224"/>
      <c r="J125" s="2128" t="e">
        <f>'[1]606  2018 Shp per ind lim mujor'!S103</f>
        <v>#REF!</v>
      </c>
      <c r="K125" s="2224"/>
      <c r="L125" s="2238"/>
      <c r="M125" s="2224"/>
      <c r="N125" s="2238"/>
      <c r="O125" s="2224"/>
      <c r="P125" s="2238"/>
      <c r="Q125" s="2224"/>
      <c r="R125" s="2238"/>
      <c r="S125" s="2238"/>
      <c r="T125" s="2224"/>
      <c r="U125" s="2238"/>
      <c r="V125" s="2224"/>
      <c r="W125" s="2238"/>
      <c r="X125" s="2224" t="e">
        <f>'[1]ndermarjet sociale fakt  '!S70</f>
        <v>#REF!</v>
      </c>
      <c r="Y125" s="2238"/>
      <c r="Z125" s="2224"/>
      <c r="AA125" s="2238"/>
      <c r="AB125" s="2238"/>
    </row>
    <row r="126" spans="1:28" ht="16.5">
      <c r="A126" s="2223"/>
      <c r="B126" s="2224" t="s">
        <v>2747</v>
      </c>
      <c r="C126" s="2154" t="e">
        <f t="shared" si="22"/>
        <v>#REF!</v>
      </c>
      <c r="D126" s="2225">
        <f t="shared" si="23"/>
        <v>0</v>
      </c>
      <c r="E126" s="2224"/>
      <c r="F126" s="2238"/>
      <c r="G126" s="2224"/>
      <c r="H126" s="2238"/>
      <c r="I126" s="2224"/>
      <c r="J126" s="2128" t="e">
        <f>'[1]606  2018 Shp per ind lim mujor'!S104</f>
        <v>#REF!</v>
      </c>
      <c r="K126" s="2224"/>
      <c r="L126" s="2238"/>
      <c r="M126" s="2224"/>
      <c r="N126" s="2238"/>
      <c r="O126" s="2224"/>
      <c r="P126" s="2238"/>
      <c r="Q126" s="2224"/>
      <c r="R126" s="2238"/>
      <c r="S126" s="2238"/>
      <c r="T126" s="2224"/>
      <c r="U126" s="2238"/>
      <c r="V126" s="2224"/>
      <c r="W126" s="2238"/>
      <c r="X126" s="2224" t="e">
        <f>'[1]fondi social fakt '!S70</f>
        <v>#REF!</v>
      </c>
      <c r="Y126" s="2238"/>
      <c r="Z126" s="2224"/>
      <c r="AA126" s="2238"/>
      <c r="AB126" s="2238"/>
    </row>
    <row r="127" spans="1:28" ht="182.25" thickBot="1">
      <c r="A127" s="2223">
        <v>4</v>
      </c>
      <c r="B127" s="2239" t="s">
        <v>2748</v>
      </c>
      <c r="C127" s="2154" t="e">
        <f t="shared" si="22"/>
        <v>#REF!</v>
      </c>
      <c r="D127" s="2240">
        <f t="shared" si="23"/>
        <v>0</v>
      </c>
      <c r="E127" s="2239" t="e">
        <f>X127</f>
        <v>#REF!</v>
      </c>
      <c r="F127" s="2241"/>
      <c r="G127" s="2239"/>
      <c r="H127" s="2241"/>
      <c r="I127" s="2239"/>
      <c r="J127" s="2142" t="e">
        <f>'[1]606  2018 Shp per ind lim mujor'!S105</f>
        <v>#REF!</v>
      </c>
      <c r="K127" s="2239"/>
      <c r="L127" s="2241"/>
      <c r="M127" s="2239"/>
      <c r="N127" s="2241"/>
      <c r="O127" s="2239"/>
      <c r="P127" s="2241"/>
      <c r="Q127" s="2239"/>
      <c r="R127" s="2242"/>
      <c r="S127" s="2242"/>
      <c r="T127" s="2239"/>
      <c r="U127" s="2242"/>
      <c r="V127" s="2239"/>
      <c r="W127" s="2242"/>
      <c r="X127" s="2239" t="e">
        <f>'[1]romet fakt '!S70</f>
        <v>#REF!</v>
      </c>
      <c r="Y127" s="2242"/>
      <c r="Z127" s="2239"/>
      <c r="AA127" s="2242"/>
      <c r="AB127" s="2242"/>
    </row>
    <row r="128" spans="1:28" ht="17.25" thickBot="1">
      <c r="A128" s="2243"/>
      <c r="B128" s="2244" t="s">
        <v>82</v>
      </c>
      <c r="C128" s="2245" t="e">
        <f>SUM(C121:C127)</f>
        <v>#REF!</v>
      </c>
      <c r="D128" s="2245" t="e">
        <f t="shared" ref="D128:AA128" si="24">SUM(D121:D127)</f>
        <v>#REF!</v>
      </c>
      <c r="E128" s="2246" t="e">
        <f t="shared" si="24"/>
        <v>#REF!</v>
      </c>
      <c r="F128" s="2245" t="e">
        <f t="shared" si="24"/>
        <v>#REF!</v>
      </c>
      <c r="G128" s="2246" t="e">
        <f t="shared" si="24"/>
        <v>#REF!</v>
      </c>
      <c r="H128" s="2245" t="e">
        <f t="shared" si="24"/>
        <v>#REF!</v>
      </c>
      <c r="I128" s="2246" t="e">
        <f t="shared" si="24"/>
        <v>#REF!</v>
      </c>
      <c r="J128" s="2245" t="e">
        <f t="shared" si="24"/>
        <v>#REF!</v>
      </c>
      <c r="K128" s="2246" t="e">
        <f t="shared" si="24"/>
        <v>#REF!</v>
      </c>
      <c r="L128" s="2245" t="e">
        <f t="shared" si="24"/>
        <v>#REF!</v>
      </c>
      <c r="M128" s="2246" t="e">
        <f t="shared" si="24"/>
        <v>#REF!</v>
      </c>
      <c r="N128" s="2245" t="e">
        <f t="shared" si="24"/>
        <v>#REF!</v>
      </c>
      <c r="O128" s="2246" t="e">
        <f t="shared" si="24"/>
        <v>#REF!</v>
      </c>
      <c r="P128" s="2245" t="e">
        <f t="shared" si="24"/>
        <v>#REF!</v>
      </c>
      <c r="Q128" s="2247" t="e">
        <f t="shared" si="24"/>
        <v>#REF!</v>
      </c>
      <c r="R128" s="2245" t="e">
        <f t="shared" si="24"/>
        <v>#REF!</v>
      </c>
      <c r="S128" s="2245" t="e">
        <f t="shared" si="24"/>
        <v>#REF!</v>
      </c>
      <c r="T128" s="2245" t="e">
        <f t="shared" si="24"/>
        <v>#REF!</v>
      </c>
      <c r="U128" s="2245" t="e">
        <f t="shared" si="24"/>
        <v>#REF!</v>
      </c>
      <c r="V128" s="2245" t="e">
        <f t="shared" si="24"/>
        <v>#REF!</v>
      </c>
      <c r="W128" s="2245" t="e">
        <f t="shared" si="24"/>
        <v>#REF!</v>
      </c>
      <c r="X128" s="2245" t="e">
        <f t="shared" si="24"/>
        <v>#REF!</v>
      </c>
      <c r="Y128" s="2245" t="e">
        <f t="shared" si="24"/>
        <v>#REF!</v>
      </c>
      <c r="Z128" s="2245" t="e">
        <f t="shared" si="24"/>
        <v>#REF!</v>
      </c>
      <c r="AA128" s="2245" t="e">
        <f t="shared" si="24"/>
        <v>#REF!</v>
      </c>
      <c r="AB128" s="2245" t="e">
        <f>SUM(AB121:AB127)</f>
        <v>#REF!</v>
      </c>
    </row>
    <row r="129" spans="1:28" ht="16.5">
      <c r="A129" s="2248"/>
      <c r="B129" s="2249"/>
      <c r="C129" s="2250"/>
      <c r="D129" s="2251"/>
      <c r="E129" s="2252"/>
      <c r="F129" s="2253"/>
      <c r="G129" s="2253"/>
      <c r="H129" s="2253"/>
      <c r="I129" s="2254"/>
      <c r="J129" s="2254"/>
      <c r="K129" s="2254"/>
      <c r="L129" s="2254"/>
      <c r="M129" s="2250"/>
      <c r="N129" s="2250"/>
      <c r="O129" s="2255"/>
      <c r="P129" s="2256"/>
      <c r="Q129" s="2255"/>
      <c r="R129" s="2255"/>
      <c r="S129" s="2255"/>
      <c r="T129" s="2257"/>
      <c r="U129" s="2257"/>
      <c r="V129" s="2257"/>
      <c r="W129" s="2258"/>
      <c r="X129" s="2258"/>
      <c r="Y129" s="2254"/>
      <c r="Z129" s="2254"/>
      <c r="AA129" s="2259"/>
      <c r="AB129" s="2259"/>
    </row>
    <row r="130" spans="1:28" ht="23.25">
      <c r="A130" s="2985" t="s">
        <v>2749</v>
      </c>
      <c r="B130" s="2987"/>
      <c r="C130" s="2987"/>
      <c r="D130" s="2987"/>
      <c r="E130" s="2987"/>
      <c r="F130" s="2987"/>
      <c r="G130" s="2987"/>
      <c r="H130" s="2261"/>
      <c r="I130" s="2261"/>
      <c r="J130" s="2261"/>
      <c r="K130" s="2261"/>
      <c r="L130" s="2261"/>
      <c r="M130" s="2262"/>
      <c r="N130" s="2263"/>
      <c r="O130" s="2263"/>
      <c r="P130" s="2263"/>
      <c r="Q130" s="2261"/>
      <c r="R130" s="2261"/>
      <c r="S130" s="2261"/>
      <c r="T130" s="2261"/>
      <c r="U130" s="2257"/>
      <c r="V130" s="2257"/>
      <c r="W130" s="2259"/>
      <c r="X130" s="2259"/>
      <c r="Y130" s="2254"/>
      <c r="Z130" s="2254"/>
      <c r="AA130" s="2259"/>
      <c r="AB130" s="2259"/>
    </row>
    <row r="131" spans="1:28" ht="16.5">
      <c r="A131" s="2261"/>
      <c r="B131" s="2261"/>
      <c r="C131" s="2261"/>
      <c r="D131" s="2261"/>
      <c r="E131" s="2261"/>
      <c r="F131" s="2261"/>
      <c r="G131" s="2261"/>
      <c r="H131" s="2261"/>
      <c r="I131" s="2261"/>
      <c r="J131" s="2261"/>
      <c r="K131" s="2261"/>
      <c r="L131" s="2261"/>
      <c r="M131" s="2262"/>
      <c r="N131" s="2263"/>
      <c r="O131" s="2263"/>
      <c r="P131" s="2263"/>
      <c r="Q131" s="2261"/>
      <c r="R131" s="2261"/>
      <c r="S131" s="2261"/>
      <c r="T131" s="2261"/>
      <c r="U131" s="2260"/>
      <c r="V131" s="2260"/>
      <c r="W131" s="2259"/>
      <c r="X131" s="2259"/>
      <c r="Y131" s="2254"/>
      <c r="Z131" s="2254"/>
      <c r="AA131" s="2259"/>
      <c r="AB131" s="2259"/>
    </row>
    <row r="132" spans="1:28" ht="15">
      <c r="A132" s="2960" t="s">
        <v>653</v>
      </c>
      <c r="B132" s="2988"/>
      <c r="C132" s="2988"/>
      <c r="D132" s="2261"/>
      <c r="E132" s="2264">
        <v>2020</v>
      </c>
      <c r="F132" s="2261"/>
      <c r="G132" s="2261"/>
      <c r="H132" s="2261"/>
      <c r="I132" s="2261"/>
      <c r="J132" s="2261"/>
      <c r="K132" s="2261"/>
      <c r="L132" s="2261"/>
      <c r="M132" s="2262"/>
      <c r="N132" s="2263"/>
      <c r="O132" s="2263"/>
      <c r="P132" s="2263"/>
      <c r="Q132" s="2261"/>
      <c r="R132" s="2261"/>
      <c r="S132" s="2261"/>
      <c r="T132" s="2261"/>
    </row>
    <row r="133" spans="1:28" ht="15">
      <c r="A133" s="2261"/>
      <c r="B133" s="2261"/>
      <c r="C133" s="2261"/>
      <c r="D133" s="2261"/>
      <c r="E133" s="2261"/>
      <c r="F133" s="2261"/>
      <c r="G133" s="2261"/>
      <c r="H133" s="2261"/>
      <c r="I133" s="2261"/>
      <c r="J133" s="2261"/>
      <c r="K133" s="2261"/>
      <c r="L133" s="2261"/>
      <c r="M133" s="2262"/>
      <c r="N133" s="2263"/>
      <c r="O133" s="2263"/>
      <c r="P133" s="2263"/>
      <c r="Q133" s="2261"/>
      <c r="R133" s="2261"/>
      <c r="S133" s="2261"/>
      <c r="T133" s="2261"/>
    </row>
    <row r="134" spans="1:28" ht="15">
      <c r="A134" s="2960" t="s">
        <v>655</v>
      </c>
      <c r="B134" s="2988"/>
      <c r="C134" s="2988"/>
      <c r="D134" s="2261"/>
      <c r="E134" s="2961" t="s">
        <v>2750</v>
      </c>
      <c r="F134" s="2988"/>
      <c r="G134" s="2988"/>
      <c r="H134" s="2988"/>
      <c r="I134" s="2988"/>
      <c r="J134" s="2261"/>
      <c r="K134" s="2261"/>
      <c r="L134" s="2261"/>
      <c r="M134" s="2262"/>
      <c r="N134" s="2263"/>
      <c r="O134" s="2263"/>
      <c r="P134" s="2263"/>
      <c r="Q134" s="2261"/>
      <c r="R134" s="2261"/>
      <c r="S134" s="2261"/>
      <c r="T134" s="2261"/>
    </row>
    <row r="135" spans="1:28" ht="15">
      <c r="A135" s="2261"/>
      <c r="B135" s="2261"/>
      <c r="C135" s="2261"/>
      <c r="D135" s="2261"/>
      <c r="E135" s="2261"/>
      <c r="F135" s="2261"/>
      <c r="G135" s="2261"/>
      <c r="H135" s="2261"/>
      <c r="I135" s="2261"/>
      <c r="J135" s="2261"/>
      <c r="K135" s="2261"/>
      <c r="L135" s="2261"/>
      <c r="M135" s="2262"/>
      <c r="N135" s="2263"/>
      <c r="O135" s="2263"/>
      <c r="P135" s="2263"/>
      <c r="Q135" s="2261"/>
      <c r="R135" s="2261"/>
      <c r="S135" s="2261"/>
      <c r="T135" s="2261"/>
    </row>
    <row r="136" spans="1:28" ht="126">
      <c r="A136" s="2265"/>
      <c r="B136" s="2266" t="s">
        <v>657</v>
      </c>
      <c r="C136" s="2893" t="s">
        <v>587</v>
      </c>
      <c r="D136" s="2894"/>
      <c r="E136" s="2894"/>
      <c r="F136" s="2895"/>
      <c r="G136" s="2893" t="s">
        <v>2751</v>
      </c>
      <c r="H136" s="2895"/>
      <c r="I136" s="2893" t="s">
        <v>2752</v>
      </c>
      <c r="J136" s="2895"/>
      <c r="K136" s="2266" t="s">
        <v>2753</v>
      </c>
      <c r="L136" s="2266" t="s">
        <v>2754</v>
      </c>
      <c r="M136" s="2266" t="s">
        <v>2755</v>
      </c>
      <c r="N136" s="2267" t="s">
        <v>2756</v>
      </c>
      <c r="O136" s="2267" t="s">
        <v>2757</v>
      </c>
      <c r="P136" s="2267" t="s">
        <v>2758</v>
      </c>
      <c r="Q136" s="2266" t="s">
        <v>623</v>
      </c>
      <c r="R136" s="2266" t="s">
        <v>2759</v>
      </c>
      <c r="S136" s="2266" t="s">
        <v>2760</v>
      </c>
      <c r="T136" s="2266" t="s">
        <v>2761</v>
      </c>
    </row>
    <row r="137" spans="1:28" ht="135">
      <c r="A137" s="2265"/>
      <c r="B137" s="2268">
        <v>1</v>
      </c>
      <c r="C137" s="2882" t="s">
        <v>1013</v>
      </c>
      <c r="D137" s="2883"/>
      <c r="E137" s="2883"/>
      <c r="F137" s="2884"/>
      <c r="G137" s="2882" t="s">
        <v>757</v>
      </c>
      <c r="H137" s="2884"/>
      <c r="I137" s="2882" t="s">
        <v>2762</v>
      </c>
      <c r="J137" s="2884"/>
      <c r="K137" s="2268" t="s">
        <v>2763</v>
      </c>
      <c r="L137" s="2268" t="s">
        <v>2764</v>
      </c>
      <c r="M137" s="2268" t="s">
        <v>2765</v>
      </c>
      <c r="N137" s="2269">
        <v>99000</v>
      </c>
      <c r="O137" s="2270" t="s">
        <v>2766</v>
      </c>
      <c r="P137" s="2270">
        <v>99000</v>
      </c>
      <c r="Q137" s="2268"/>
      <c r="R137" s="2268" t="s">
        <v>2767</v>
      </c>
      <c r="S137" s="2268" t="s">
        <v>2768</v>
      </c>
      <c r="T137" s="2268"/>
    </row>
    <row r="138" spans="1:28" ht="15">
      <c r="A138" s="2265"/>
      <c r="B138" s="2271" t="s">
        <v>676</v>
      </c>
      <c r="C138" s="2888" t="s">
        <v>676</v>
      </c>
      <c r="D138" s="2889"/>
      <c r="E138" s="2889"/>
      <c r="F138" s="2890"/>
      <c r="G138" s="2888" t="s">
        <v>676</v>
      </c>
      <c r="H138" s="2890"/>
      <c r="I138" s="2888" t="s">
        <v>676</v>
      </c>
      <c r="J138" s="2890"/>
      <c r="K138" s="2271" t="s">
        <v>676</v>
      </c>
      <c r="L138" s="2271" t="s">
        <v>676</v>
      </c>
      <c r="M138" s="2271" t="s">
        <v>676</v>
      </c>
      <c r="N138" s="2272" t="s">
        <v>676</v>
      </c>
      <c r="O138" s="2270" t="s">
        <v>2769</v>
      </c>
      <c r="P138" s="2270">
        <v>0</v>
      </c>
      <c r="Q138" s="2271" t="s">
        <v>676</v>
      </c>
      <c r="R138" s="2271" t="s">
        <v>676</v>
      </c>
      <c r="S138" s="2271" t="s">
        <v>676</v>
      </c>
      <c r="T138" s="2271" t="s">
        <v>676</v>
      </c>
    </row>
    <row r="139" spans="1:28" ht="15">
      <c r="A139" s="2265"/>
      <c r="B139" s="2271" t="s">
        <v>676</v>
      </c>
      <c r="C139" s="2891" t="s">
        <v>676</v>
      </c>
      <c r="D139" s="2889"/>
      <c r="E139" s="2889"/>
      <c r="F139" s="2890"/>
      <c r="G139" s="2892" t="s">
        <v>676</v>
      </c>
      <c r="H139" s="2889"/>
      <c r="I139" s="2888" t="s">
        <v>676</v>
      </c>
      <c r="J139" s="2890"/>
      <c r="K139" s="2271" t="s">
        <v>676</v>
      </c>
      <c r="L139" s="2271" t="s">
        <v>676</v>
      </c>
      <c r="M139" s="2271" t="s">
        <v>676</v>
      </c>
      <c r="N139" s="2272" t="s">
        <v>676</v>
      </c>
      <c r="O139" s="2270" t="s">
        <v>2770</v>
      </c>
      <c r="P139" s="2270">
        <v>0</v>
      </c>
      <c r="Q139" s="2271" t="s">
        <v>676</v>
      </c>
      <c r="R139" s="2271" t="s">
        <v>676</v>
      </c>
      <c r="S139" s="2271" t="s">
        <v>676</v>
      </c>
      <c r="T139" s="2271" t="s">
        <v>676</v>
      </c>
    </row>
    <row r="140" spans="1:28" ht="135">
      <c r="A140" s="2265"/>
      <c r="B140" s="2268">
        <v>2</v>
      </c>
      <c r="C140" s="2882" t="s">
        <v>2771</v>
      </c>
      <c r="D140" s="2883"/>
      <c r="E140" s="2883"/>
      <c r="F140" s="2884"/>
      <c r="G140" s="2882" t="s">
        <v>2772</v>
      </c>
      <c r="H140" s="2884"/>
      <c r="I140" s="2882" t="s">
        <v>2762</v>
      </c>
      <c r="J140" s="2884"/>
      <c r="K140" s="2268" t="s">
        <v>2763</v>
      </c>
      <c r="L140" s="2268" t="s">
        <v>2764</v>
      </c>
      <c r="M140" s="2268" t="s">
        <v>2765</v>
      </c>
      <c r="N140" s="2269">
        <v>90000</v>
      </c>
      <c r="O140" s="2270" t="s">
        <v>2766</v>
      </c>
      <c r="P140" s="2270">
        <v>90000</v>
      </c>
      <c r="Q140" s="2268"/>
      <c r="R140" s="2268" t="s">
        <v>2767</v>
      </c>
      <c r="S140" s="2268" t="s">
        <v>2768</v>
      </c>
      <c r="T140" s="2268"/>
    </row>
    <row r="141" spans="1:28" ht="15">
      <c r="A141" s="2265"/>
      <c r="B141" s="2271" t="s">
        <v>676</v>
      </c>
      <c r="C141" s="2888" t="s">
        <v>676</v>
      </c>
      <c r="D141" s="2889"/>
      <c r="E141" s="2889"/>
      <c r="F141" s="2890"/>
      <c r="G141" s="2888" t="s">
        <v>676</v>
      </c>
      <c r="H141" s="2890"/>
      <c r="I141" s="2888" t="s">
        <v>676</v>
      </c>
      <c r="J141" s="2890"/>
      <c r="K141" s="2271" t="s">
        <v>676</v>
      </c>
      <c r="L141" s="2271" t="s">
        <v>676</v>
      </c>
      <c r="M141" s="2271" t="s">
        <v>676</v>
      </c>
      <c r="N141" s="2272" t="s">
        <v>676</v>
      </c>
      <c r="O141" s="2270" t="s">
        <v>2769</v>
      </c>
      <c r="P141" s="2270">
        <v>0</v>
      </c>
      <c r="Q141" s="2271" t="s">
        <v>676</v>
      </c>
      <c r="R141" s="2271" t="s">
        <v>676</v>
      </c>
      <c r="S141" s="2271" t="s">
        <v>676</v>
      </c>
      <c r="T141" s="2271" t="s">
        <v>676</v>
      </c>
    </row>
    <row r="142" spans="1:28" ht="15">
      <c r="A142" s="2265"/>
      <c r="B142" s="2271" t="s">
        <v>676</v>
      </c>
      <c r="C142" s="2891" t="s">
        <v>676</v>
      </c>
      <c r="D142" s="2889"/>
      <c r="E142" s="2889"/>
      <c r="F142" s="2890"/>
      <c r="G142" s="2892" t="s">
        <v>676</v>
      </c>
      <c r="H142" s="2889"/>
      <c r="I142" s="2888" t="s">
        <v>676</v>
      </c>
      <c r="J142" s="2890"/>
      <c r="K142" s="2271" t="s">
        <v>676</v>
      </c>
      <c r="L142" s="2271" t="s">
        <v>676</v>
      </c>
      <c r="M142" s="2271" t="s">
        <v>676</v>
      </c>
      <c r="N142" s="2272" t="s">
        <v>676</v>
      </c>
      <c r="O142" s="2270" t="s">
        <v>2770</v>
      </c>
      <c r="P142" s="2270">
        <v>0</v>
      </c>
      <c r="Q142" s="2271" t="s">
        <v>676</v>
      </c>
      <c r="R142" s="2271" t="s">
        <v>676</v>
      </c>
      <c r="S142" s="2271" t="s">
        <v>676</v>
      </c>
      <c r="T142" s="2271" t="s">
        <v>676</v>
      </c>
    </row>
    <row r="143" spans="1:28" ht="90">
      <c r="A143" s="2265"/>
      <c r="B143" s="2268">
        <v>3</v>
      </c>
      <c r="C143" s="2882" t="s">
        <v>2773</v>
      </c>
      <c r="D143" s="2883"/>
      <c r="E143" s="2883"/>
      <c r="F143" s="2884"/>
      <c r="G143" s="2882" t="s">
        <v>2774</v>
      </c>
      <c r="H143" s="2884"/>
      <c r="I143" s="2882" t="s">
        <v>2762</v>
      </c>
      <c r="J143" s="2884"/>
      <c r="K143" s="2268" t="s">
        <v>2763</v>
      </c>
      <c r="L143" s="2268" t="s">
        <v>2775</v>
      </c>
      <c r="M143" s="2268" t="s">
        <v>2776</v>
      </c>
      <c r="N143" s="2269">
        <v>350000</v>
      </c>
      <c r="O143" s="2270" t="s">
        <v>2766</v>
      </c>
      <c r="P143" s="2270">
        <v>350000</v>
      </c>
      <c r="Q143" s="2268" t="s">
        <v>688</v>
      </c>
      <c r="R143" s="2268" t="s">
        <v>2777</v>
      </c>
      <c r="S143" s="2268" t="s">
        <v>2768</v>
      </c>
      <c r="T143" s="2268"/>
    </row>
    <row r="144" spans="1:28" ht="15">
      <c r="A144" s="2265"/>
      <c r="B144" s="2271" t="s">
        <v>676</v>
      </c>
      <c r="C144" s="2888" t="s">
        <v>676</v>
      </c>
      <c r="D144" s="2889"/>
      <c r="E144" s="2889"/>
      <c r="F144" s="2890"/>
      <c r="G144" s="2888" t="s">
        <v>676</v>
      </c>
      <c r="H144" s="2890"/>
      <c r="I144" s="2888" t="s">
        <v>676</v>
      </c>
      <c r="J144" s="2890"/>
      <c r="K144" s="2271" t="s">
        <v>676</v>
      </c>
      <c r="L144" s="2271" t="s">
        <v>676</v>
      </c>
      <c r="M144" s="2271" t="s">
        <v>676</v>
      </c>
      <c r="N144" s="2272" t="s">
        <v>676</v>
      </c>
      <c r="O144" s="2270" t="s">
        <v>2769</v>
      </c>
      <c r="P144" s="2270">
        <v>0</v>
      </c>
      <c r="Q144" s="2271" t="s">
        <v>676</v>
      </c>
      <c r="R144" s="2271" t="s">
        <v>676</v>
      </c>
      <c r="S144" s="2271" t="s">
        <v>676</v>
      </c>
      <c r="T144" s="2271" t="s">
        <v>676</v>
      </c>
    </row>
    <row r="145" spans="1:20" ht="15">
      <c r="A145" s="2265"/>
      <c r="B145" s="2271" t="s">
        <v>676</v>
      </c>
      <c r="C145" s="2891" t="s">
        <v>676</v>
      </c>
      <c r="D145" s="2889"/>
      <c r="E145" s="2889"/>
      <c r="F145" s="2890"/>
      <c r="G145" s="2892" t="s">
        <v>676</v>
      </c>
      <c r="H145" s="2889"/>
      <c r="I145" s="2888" t="s">
        <v>676</v>
      </c>
      <c r="J145" s="2890"/>
      <c r="K145" s="2271" t="s">
        <v>676</v>
      </c>
      <c r="L145" s="2271" t="s">
        <v>676</v>
      </c>
      <c r="M145" s="2271" t="s">
        <v>676</v>
      </c>
      <c r="N145" s="2272" t="s">
        <v>676</v>
      </c>
      <c r="O145" s="2270" t="s">
        <v>2770</v>
      </c>
      <c r="P145" s="2270">
        <v>0</v>
      </c>
      <c r="Q145" s="2271" t="s">
        <v>676</v>
      </c>
      <c r="R145" s="2271" t="s">
        <v>676</v>
      </c>
      <c r="S145" s="2271" t="s">
        <v>676</v>
      </c>
      <c r="T145" s="2271" t="s">
        <v>676</v>
      </c>
    </row>
    <row r="146" spans="1:20" ht="135">
      <c r="A146" s="2265"/>
      <c r="B146" s="2268">
        <v>4</v>
      </c>
      <c r="C146" s="2882" t="s">
        <v>2778</v>
      </c>
      <c r="D146" s="2883"/>
      <c r="E146" s="2883"/>
      <c r="F146" s="2884"/>
      <c r="G146" s="2882" t="s">
        <v>2779</v>
      </c>
      <c r="H146" s="2884"/>
      <c r="I146" s="2882" t="s">
        <v>2762</v>
      </c>
      <c r="J146" s="2884"/>
      <c r="K146" s="2268" t="s">
        <v>2763</v>
      </c>
      <c r="L146" s="2268" t="s">
        <v>2764</v>
      </c>
      <c r="M146" s="2268" t="s">
        <v>2765</v>
      </c>
      <c r="N146" s="2269">
        <v>70000</v>
      </c>
      <c r="O146" s="2270" t="s">
        <v>2766</v>
      </c>
      <c r="P146" s="2270">
        <v>70000</v>
      </c>
      <c r="Q146" s="2268"/>
      <c r="R146" s="2268" t="s">
        <v>2767</v>
      </c>
      <c r="S146" s="2268" t="s">
        <v>2768</v>
      </c>
      <c r="T146" s="2268"/>
    </row>
    <row r="147" spans="1:20" ht="15">
      <c r="A147" s="2265"/>
      <c r="B147" s="2271" t="s">
        <v>676</v>
      </c>
      <c r="C147" s="2888" t="s">
        <v>676</v>
      </c>
      <c r="D147" s="2889"/>
      <c r="E147" s="2889"/>
      <c r="F147" s="2890"/>
      <c r="G147" s="2888" t="s">
        <v>676</v>
      </c>
      <c r="H147" s="2890"/>
      <c r="I147" s="2888" t="s">
        <v>676</v>
      </c>
      <c r="J147" s="2890"/>
      <c r="K147" s="2271" t="s">
        <v>676</v>
      </c>
      <c r="L147" s="2271" t="s">
        <v>676</v>
      </c>
      <c r="M147" s="2271" t="s">
        <v>676</v>
      </c>
      <c r="N147" s="2272" t="s">
        <v>676</v>
      </c>
      <c r="O147" s="2270" t="s">
        <v>2769</v>
      </c>
      <c r="P147" s="2270">
        <v>0</v>
      </c>
      <c r="Q147" s="2271" t="s">
        <v>676</v>
      </c>
      <c r="R147" s="2271" t="s">
        <v>676</v>
      </c>
      <c r="S147" s="2271" t="s">
        <v>676</v>
      </c>
      <c r="T147" s="2271" t="s">
        <v>676</v>
      </c>
    </row>
    <row r="148" spans="1:20" ht="15">
      <c r="A148" s="2265"/>
      <c r="B148" s="2271" t="s">
        <v>676</v>
      </c>
      <c r="C148" s="2891" t="s">
        <v>676</v>
      </c>
      <c r="D148" s="2889"/>
      <c r="E148" s="2889"/>
      <c r="F148" s="2890"/>
      <c r="G148" s="2892" t="s">
        <v>676</v>
      </c>
      <c r="H148" s="2889"/>
      <c r="I148" s="2888" t="s">
        <v>676</v>
      </c>
      <c r="J148" s="2890"/>
      <c r="K148" s="2271" t="s">
        <v>676</v>
      </c>
      <c r="L148" s="2271" t="s">
        <v>676</v>
      </c>
      <c r="M148" s="2271" t="s">
        <v>676</v>
      </c>
      <c r="N148" s="2272" t="s">
        <v>676</v>
      </c>
      <c r="O148" s="2270" t="s">
        <v>2770</v>
      </c>
      <c r="P148" s="2270">
        <v>0</v>
      </c>
      <c r="Q148" s="2271" t="s">
        <v>676</v>
      </c>
      <c r="R148" s="2271" t="s">
        <v>676</v>
      </c>
      <c r="S148" s="2271" t="s">
        <v>676</v>
      </c>
      <c r="T148" s="2271" t="s">
        <v>676</v>
      </c>
    </row>
    <row r="149" spans="1:20" ht="135">
      <c r="A149" s="2265"/>
      <c r="B149" s="2268">
        <v>5</v>
      </c>
      <c r="C149" s="2882" t="s">
        <v>2780</v>
      </c>
      <c r="D149" s="2883"/>
      <c r="E149" s="2883"/>
      <c r="F149" s="2884"/>
      <c r="G149" s="2882" t="s">
        <v>2781</v>
      </c>
      <c r="H149" s="2884"/>
      <c r="I149" s="2882" t="s">
        <v>2762</v>
      </c>
      <c r="J149" s="2884"/>
      <c r="K149" s="2268" t="s">
        <v>2763</v>
      </c>
      <c r="L149" s="2268" t="s">
        <v>2764</v>
      </c>
      <c r="M149" s="2268" t="s">
        <v>2765</v>
      </c>
      <c r="N149" s="2269">
        <v>95000</v>
      </c>
      <c r="O149" s="2270" t="s">
        <v>2766</v>
      </c>
      <c r="P149" s="2270">
        <v>95000</v>
      </c>
      <c r="Q149" s="2268"/>
      <c r="R149" s="2268" t="s">
        <v>2767</v>
      </c>
      <c r="S149" s="2268" t="s">
        <v>2768</v>
      </c>
      <c r="T149" s="2268"/>
    </row>
    <row r="150" spans="1:20" ht="15">
      <c r="A150" s="2265"/>
      <c r="B150" s="2271" t="s">
        <v>676</v>
      </c>
      <c r="C150" s="2888" t="s">
        <v>676</v>
      </c>
      <c r="D150" s="2889"/>
      <c r="E150" s="2889"/>
      <c r="F150" s="2890"/>
      <c r="G150" s="2888" t="s">
        <v>676</v>
      </c>
      <c r="H150" s="2890"/>
      <c r="I150" s="2888" t="s">
        <v>676</v>
      </c>
      <c r="J150" s="2890"/>
      <c r="K150" s="2271" t="s">
        <v>676</v>
      </c>
      <c r="L150" s="2271" t="s">
        <v>676</v>
      </c>
      <c r="M150" s="2271" t="s">
        <v>676</v>
      </c>
      <c r="N150" s="2272" t="s">
        <v>676</v>
      </c>
      <c r="O150" s="2270" t="s">
        <v>2769</v>
      </c>
      <c r="P150" s="2270">
        <v>0</v>
      </c>
      <c r="Q150" s="2271" t="s">
        <v>676</v>
      </c>
      <c r="R150" s="2271" t="s">
        <v>676</v>
      </c>
      <c r="S150" s="2271" t="s">
        <v>676</v>
      </c>
      <c r="T150" s="2271" t="s">
        <v>676</v>
      </c>
    </row>
    <row r="151" spans="1:20" ht="15">
      <c r="A151" s="2265"/>
      <c r="B151" s="2271" t="s">
        <v>676</v>
      </c>
      <c r="C151" s="2891" t="s">
        <v>676</v>
      </c>
      <c r="D151" s="2889"/>
      <c r="E151" s="2889"/>
      <c r="F151" s="2890"/>
      <c r="G151" s="2892" t="s">
        <v>676</v>
      </c>
      <c r="H151" s="2889"/>
      <c r="I151" s="2888" t="s">
        <v>676</v>
      </c>
      <c r="J151" s="2890"/>
      <c r="K151" s="2271" t="s">
        <v>676</v>
      </c>
      <c r="L151" s="2271" t="s">
        <v>676</v>
      </c>
      <c r="M151" s="2271" t="s">
        <v>676</v>
      </c>
      <c r="N151" s="2272" t="s">
        <v>676</v>
      </c>
      <c r="O151" s="2270" t="s">
        <v>2770</v>
      </c>
      <c r="P151" s="2270">
        <v>0</v>
      </c>
      <c r="Q151" s="2271" t="s">
        <v>676</v>
      </c>
      <c r="R151" s="2271" t="s">
        <v>676</v>
      </c>
      <c r="S151" s="2271" t="s">
        <v>676</v>
      </c>
      <c r="T151" s="2271" t="s">
        <v>676</v>
      </c>
    </row>
    <row r="152" spans="1:20" ht="135">
      <c r="A152" s="2265"/>
      <c r="B152" s="2268">
        <v>6</v>
      </c>
      <c r="C152" s="2882" t="s">
        <v>1189</v>
      </c>
      <c r="D152" s="2883"/>
      <c r="E152" s="2883"/>
      <c r="F152" s="2884"/>
      <c r="G152" s="2882" t="s">
        <v>1190</v>
      </c>
      <c r="H152" s="2884"/>
      <c r="I152" s="2882" t="s">
        <v>2762</v>
      </c>
      <c r="J152" s="2884"/>
      <c r="K152" s="2268" t="s">
        <v>2763</v>
      </c>
      <c r="L152" s="2268" t="s">
        <v>2764</v>
      </c>
      <c r="M152" s="2268" t="s">
        <v>2765</v>
      </c>
      <c r="N152" s="2269">
        <v>70000</v>
      </c>
      <c r="O152" s="2270" t="s">
        <v>2766</v>
      </c>
      <c r="P152" s="2270">
        <v>70000</v>
      </c>
      <c r="Q152" s="2268"/>
      <c r="R152" s="2268" t="s">
        <v>2767</v>
      </c>
      <c r="S152" s="2268" t="s">
        <v>2768</v>
      </c>
      <c r="T152" s="2268"/>
    </row>
    <row r="153" spans="1:20" ht="15">
      <c r="A153" s="2265"/>
      <c r="B153" s="2271" t="s">
        <v>676</v>
      </c>
      <c r="C153" s="2888" t="s">
        <v>676</v>
      </c>
      <c r="D153" s="2889"/>
      <c r="E153" s="2889"/>
      <c r="F153" s="2890"/>
      <c r="G153" s="2888" t="s">
        <v>676</v>
      </c>
      <c r="H153" s="2890"/>
      <c r="I153" s="2888" t="s">
        <v>676</v>
      </c>
      <c r="J153" s="2890"/>
      <c r="K153" s="2271" t="s">
        <v>676</v>
      </c>
      <c r="L153" s="2271" t="s">
        <v>676</v>
      </c>
      <c r="M153" s="2271" t="s">
        <v>676</v>
      </c>
      <c r="N153" s="2272" t="s">
        <v>676</v>
      </c>
      <c r="O153" s="2270" t="s">
        <v>2769</v>
      </c>
      <c r="P153" s="2270">
        <v>0</v>
      </c>
      <c r="Q153" s="2271" t="s">
        <v>676</v>
      </c>
      <c r="R153" s="2271" t="s">
        <v>676</v>
      </c>
      <c r="S153" s="2271" t="s">
        <v>676</v>
      </c>
      <c r="T153" s="2271" t="s">
        <v>676</v>
      </c>
    </row>
    <row r="154" spans="1:20" ht="15">
      <c r="A154" s="2265"/>
      <c r="B154" s="2271" t="s">
        <v>676</v>
      </c>
      <c r="C154" s="2891" t="s">
        <v>676</v>
      </c>
      <c r="D154" s="2889"/>
      <c r="E154" s="2889"/>
      <c r="F154" s="2890"/>
      <c r="G154" s="2892" t="s">
        <v>676</v>
      </c>
      <c r="H154" s="2889"/>
      <c r="I154" s="2888" t="s">
        <v>676</v>
      </c>
      <c r="J154" s="2890"/>
      <c r="K154" s="2271" t="s">
        <v>676</v>
      </c>
      <c r="L154" s="2271" t="s">
        <v>676</v>
      </c>
      <c r="M154" s="2271" t="s">
        <v>676</v>
      </c>
      <c r="N154" s="2272" t="s">
        <v>676</v>
      </c>
      <c r="O154" s="2270" t="s">
        <v>2770</v>
      </c>
      <c r="P154" s="2270">
        <v>0</v>
      </c>
      <c r="Q154" s="2271" t="s">
        <v>676</v>
      </c>
      <c r="R154" s="2271" t="s">
        <v>676</v>
      </c>
      <c r="S154" s="2271" t="s">
        <v>676</v>
      </c>
      <c r="T154" s="2271" t="s">
        <v>676</v>
      </c>
    </row>
    <row r="155" spans="1:20" ht="90">
      <c r="A155" s="2265"/>
      <c r="B155" s="2268">
        <v>7</v>
      </c>
      <c r="C155" s="2882" t="s">
        <v>2782</v>
      </c>
      <c r="D155" s="2883"/>
      <c r="E155" s="2883"/>
      <c r="F155" s="2884"/>
      <c r="G155" s="2882" t="s">
        <v>1455</v>
      </c>
      <c r="H155" s="2884"/>
      <c r="I155" s="2882" t="s">
        <v>2762</v>
      </c>
      <c r="J155" s="2884"/>
      <c r="K155" s="2268" t="s">
        <v>2763</v>
      </c>
      <c r="L155" s="2268" t="s">
        <v>2775</v>
      </c>
      <c r="M155" s="2268" t="s">
        <v>2776</v>
      </c>
      <c r="N155" s="2269">
        <v>250000</v>
      </c>
      <c r="O155" s="2270" t="s">
        <v>2766</v>
      </c>
      <c r="P155" s="2270">
        <v>250000</v>
      </c>
      <c r="Q155" s="2268" t="s">
        <v>688</v>
      </c>
      <c r="R155" s="2268" t="s">
        <v>2777</v>
      </c>
      <c r="S155" s="2268" t="s">
        <v>2768</v>
      </c>
      <c r="T155" s="2268"/>
    </row>
    <row r="156" spans="1:20" ht="15">
      <c r="A156" s="2265"/>
      <c r="B156" s="2271" t="s">
        <v>676</v>
      </c>
      <c r="C156" s="2888" t="s">
        <v>676</v>
      </c>
      <c r="D156" s="2889"/>
      <c r="E156" s="2889"/>
      <c r="F156" s="2890"/>
      <c r="G156" s="2888" t="s">
        <v>676</v>
      </c>
      <c r="H156" s="2890"/>
      <c r="I156" s="2888" t="s">
        <v>676</v>
      </c>
      <c r="J156" s="2890"/>
      <c r="K156" s="2271" t="s">
        <v>676</v>
      </c>
      <c r="L156" s="2271" t="s">
        <v>676</v>
      </c>
      <c r="M156" s="2271" t="s">
        <v>676</v>
      </c>
      <c r="N156" s="2272" t="s">
        <v>676</v>
      </c>
      <c r="O156" s="2270" t="s">
        <v>2769</v>
      </c>
      <c r="P156" s="2270">
        <v>0</v>
      </c>
      <c r="Q156" s="2271" t="s">
        <v>676</v>
      </c>
      <c r="R156" s="2271" t="s">
        <v>676</v>
      </c>
      <c r="S156" s="2271" t="s">
        <v>676</v>
      </c>
      <c r="T156" s="2271" t="s">
        <v>676</v>
      </c>
    </row>
    <row r="157" spans="1:20" ht="15">
      <c r="A157" s="2265"/>
      <c r="B157" s="2271" t="s">
        <v>676</v>
      </c>
      <c r="C157" s="2891" t="s">
        <v>676</v>
      </c>
      <c r="D157" s="2889"/>
      <c r="E157" s="2889"/>
      <c r="F157" s="2890"/>
      <c r="G157" s="2892" t="s">
        <v>676</v>
      </c>
      <c r="H157" s="2889"/>
      <c r="I157" s="2888" t="s">
        <v>676</v>
      </c>
      <c r="J157" s="2890"/>
      <c r="K157" s="2271" t="s">
        <v>676</v>
      </c>
      <c r="L157" s="2271" t="s">
        <v>676</v>
      </c>
      <c r="M157" s="2271" t="s">
        <v>676</v>
      </c>
      <c r="N157" s="2272" t="s">
        <v>676</v>
      </c>
      <c r="O157" s="2270" t="s">
        <v>2770</v>
      </c>
      <c r="P157" s="2270">
        <v>0</v>
      </c>
      <c r="Q157" s="2271" t="s">
        <v>676</v>
      </c>
      <c r="R157" s="2271" t="s">
        <v>676</v>
      </c>
      <c r="S157" s="2271" t="s">
        <v>676</v>
      </c>
      <c r="T157" s="2271" t="s">
        <v>676</v>
      </c>
    </row>
    <row r="158" spans="1:20" ht="135">
      <c r="A158" s="2265"/>
      <c r="B158" s="2268">
        <v>8</v>
      </c>
      <c r="C158" s="2882" t="s">
        <v>2221</v>
      </c>
      <c r="D158" s="2883"/>
      <c r="E158" s="2883"/>
      <c r="F158" s="2884"/>
      <c r="G158" s="2882" t="s">
        <v>2783</v>
      </c>
      <c r="H158" s="2884"/>
      <c r="I158" s="2882" t="s">
        <v>2762</v>
      </c>
      <c r="J158" s="2884"/>
      <c r="K158" s="2268" t="s">
        <v>2763</v>
      </c>
      <c r="L158" s="2268" t="s">
        <v>2775</v>
      </c>
      <c r="M158" s="2268" t="s">
        <v>2765</v>
      </c>
      <c r="N158" s="2269">
        <v>70000</v>
      </c>
      <c r="O158" s="2270" t="s">
        <v>2766</v>
      </c>
      <c r="P158" s="2270">
        <v>70000</v>
      </c>
      <c r="Q158" s="2268"/>
      <c r="R158" s="2268" t="s">
        <v>2767</v>
      </c>
      <c r="S158" s="2268" t="s">
        <v>2768</v>
      </c>
      <c r="T158" s="2268"/>
    </row>
    <row r="159" spans="1:20" ht="15">
      <c r="A159" s="2265"/>
      <c r="B159" s="2271" t="s">
        <v>676</v>
      </c>
      <c r="C159" s="2888" t="s">
        <v>676</v>
      </c>
      <c r="D159" s="2889"/>
      <c r="E159" s="2889"/>
      <c r="F159" s="2890"/>
      <c r="G159" s="2888" t="s">
        <v>676</v>
      </c>
      <c r="H159" s="2890"/>
      <c r="I159" s="2888" t="s">
        <v>676</v>
      </c>
      <c r="J159" s="2890"/>
      <c r="K159" s="2271" t="s">
        <v>676</v>
      </c>
      <c r="L159" s="2271" t="s">
        <v>676</v>
      </c>
      <c r="M159" s="2271" t="s">
        <v>676</v>
      </c>
      <c r="N159" s="2272" t="s">
        <v>676</v>
      </c>
      <c r="O159" s="2270" t="s">
        <v>2769</v>
      </c>
      <c r="P159" s="2270">
        <v>0</v>
      </c>
      <c r="Q159" s="2271" t="s">
        <v>676</v>
      </c>
      <c r="R159" s="2271" t="s">
        <v>676</v>
      </c>
      <c r="S159" s="2271" t="s">
        <v>676</v>
      </c>
      <c r="T159" s="2271" t="s">
        <v>676</v>
      </c>
    </row>
    <row r="160" spans="1:20" ht="15">
      <c r="A160" s="2265"/>
      <c r="B160" s="2271" t="s">
        <v>676</v>
      </c>
      <c r="C160" s="2891" t="s">
        <v>676</v>
      </c>
      <c r="D160" s="2889"/>
      <c r="E160" s="2889"/>
      <c r="F160" s="2890"/>
      <c r="G160" s="2892" t="s">
        <v>676</v>
      </c>
      <c r="H160" s="2889"/>
      <c r="I160" s="2888" t="s">
        <v>676</v>
      </c>
      <c r="J160" s="2890"/>
      <c r="K160" s="2271" t="s">
        <v>676</v>
      </c>
      <c r="L160" s="2271" t="s">
        <v>676</v>
      </c>
      <c r="M160" s="2271" t="s">
        <v>676</v>
      </c>
      <c r="N160" s="2272" t="s">
        <v>676</v>
      </c>
      <c r="O160" s="2270" t="s">
        <v>2770</v>
      </c>
      <c r="P160" s="2270">
        <v>0</v>
      </c>
      <c r="Q160" s="2271" t="s">
        <v>676</v>
      </c>
      <c r="R160" s="2271" t="s">
        <v>676</v>
      </c>
      <c r="S160" s="2271" t="s">
        <v>676</v>
      </c>
      <c r="T160" s="2271" t="s">
        <v>676</v>
      </c>
    </row>
    <row r="161" spans="1:20" ht="135">
      <c r="A161" s="2265"/>
      <c r="B161" s="2268">
        <v>9</v>
      </c>
      <c r="C161" s="2882" t="s">
        <v>2784</v>
      </c>
      <c r="D161" s="2883"/>
      <c r="E161" s="2883"/>
      <c r="F161" s="2884"/>
      <c r="G161" s="2882" t="s">
        <v>2785</v>
      </c>
      <c r="H161" s="2884"/>
      <c r="I161" s="2882" t="s">
        <v>2762</v>
      </c>
      <c r="J161" s="2884"/>
      <c r="K161" s="2268" t="s">
        <v>2763</v>
      </c>
      <c r="L161" s="2268" t="s">
        <v>2764</v>
      </c>
      <c r="M161" s="2268" t="s">
        <v>2765</v>
      </c>
      <c r="N161" s="2269">
        <v>60000</v>
      </c>
      <c r="O161" s="2270" t="s">
        <v>2766</v>
      </c>
      <c r="P161" s="2270">
        <v>60000</v>
      </c>
      <c r="Q161" s="2268"/>
      <c r="R161" s="2268" t="s">
        <v>2767</v>
      </c>
      <c r="S161" s="2268" t="s">
        <v>2768</v>
      </c>
      <c r="T161" s="2268"/>
    </row>
    <row r="162" spans="1:20" ht="15">
      <c r="A162" s="2265"/>
      <c r="B162" s="2271" t="s">
        <v>676</v>
      </c>
      <c r="C162" s="2888" t="s">
        <v>676</v>
      </c>
      <c r="D162" s="2889"/>
      <c r="E162" s="2889"/>
      <c r="F162" s="2890"/>
      <c r="G162" s="2888" t="s">
        <v>676</v>
      </c>
      <c r="H162" s="2890"/>
      <c r="I162" s="2888" t="s">
        <v>676</v>
      </c>
      <c r="J162" s="2890"/>
      <c r="K162" s="2271" t="s">
        <v>676</v>
      </c>
      <c r="L162" s="2271" t="s">
        <v>676</v>
      </c>
      <c r="M162" s="2271" t="s">
        <v>676</v>
      </c>
      <c r="N162" s="2272" t="s">
        <v>676</v>
      </c>
      <c r="O162" s="2270" t="s">
        <v>2769</v>
      </c>
      <c r="P162" s="2270">
        <v>0</v>
      </c>
      <c r="Q162" s="2271" t="s">
        <v>676</v>
      </c>
      <c r="R162" s="2271" t="s">
        <v>676</v>
      </c>
      <c r="S162" s="2271" t="s">
        <v>676</v>
      </c>
      <c r="T162" s="2271" t="s">
        <v>676</v>
      </c>
    </row>
    <row r="163" spans="1:20" ht="15">
      <c r="A163" s="2265"/>
      <c r="B163" s="2271" t="s">
        <v>676</v>
      </c>
      <c r="C163" s="2891" t="s">
        <v>676</v>
      </c>
      <c r="D163" s="2889"/>
      <c r="E163" s="2889"/>
      <c r="F163" s="2890"/>
      <c r="G163" s="2892" t="s">
        <v>676</v>
      </c>
      <c r="H163" s="2889"/>
      <c r="I163" s="2888" t="s">
        <v>676</v>
      </c>
      <c r="J163" s="2890"/>
      <c r="K163" s="2271" t="s">
        <v>676</v>
      </c>
      <c r="L163" s="2271" t="s">
        <v>676</v>
      </c>
      <c r="M163" s="2271" t="s">
        <v>676</v>
      </c>
      <c r="N163" s="2272" t="s">
        <v>676</v>
      </c>
      <c r="O163" s="2270" t="s">
        <v>2770</v>
      </c>
      <c r="P163" s="2270">
        <v>0</v>
      </c>
      <c r="Q163" s="2271" t="s">
        <v>676</v>
      </c>
      <c r="R163" s="2271" t="s">
        <v>676</v>
      </c>
      <c r="S163" s="2271" t="s">
        <v>676</v>
      </c>
      <c r="T163" s="2271" t="s">
        <v>676</v>
      </c>
    </row>
    <row r="164" spans="1:20" ht="135">
      <c r="A164" s="2265"/>
      <c r="B164" s="2268">
        <v>10</v>
      </c>
      <c r="C164" s="2882" t="s">
        <v>2786</v>
      </c>
      <c r="D164" s="2883"/>
      <c r="E164" s="2883"/>
      <c r="F164" s="2884"/>
      <c r="G164" s="2882" t="s">
        <v>2787</v>
      </c>
      <c r="H164" s="2884"/>
      <c r="I164" s="2882" t="s">
        <v>2762</v>
      </c>
      <c r="J164" s="2884"/>
      <c r="K164" s="2268" t="s">
        <v>2763</v>
      </c>
      <c r="L164" s="2268" t="s">
        <v>2775</v>
      </c>
      <c r="M164" s="2268" t="s">
        <v>2765</v>
      </c>
      <c r="N164" s="2269">
        <v>80000</v>
      </c>
      <c r="O164" s="2270" t="s">
        <v>2766</v>
      </c>
      <c r="P164" s="2270">
        <v>80000</v>
      </c>
      <c r="Q164" s="2268"/>
      <c r="R164" s="2268" t="s">
        <v>2767</v>
      </c>
      <c r="S164" s="2268" t="s">
        <v>2768</v>
      </c>
      <c r="T164" s="2268"/>
    </row>
    <row r="165" spans="1:20" ht="15">
      <c r="A165" s="2265"/>
      <c r="B165" s="2271" t="s">
        <v>676</v>
      </c>
      <c r="C165" s="2888" t="s">
        <v>676</v>
      </c>
      <c r="D165" s="2889"/>
      <c r="E165" s="2889"/>
      <c r="F165" s="2890"/>
      <c r="G165" s="2888" t="s">
        <v>676</v>
      </c>
      <c r="H165" s="2890"/>
      <c r="I165" s="2888" t="s">
        <v>676</v>
      </c>
      <c r="J165" s="2890"/>
      <c r="K165" s="2271" t="s">
        <v>676</v>
      </c>
      <c r="L165" s="2271" t="s">
        <v>676</v>
      </c>
      <c r="M165" s="2271" t="s">
        <v>676</v>
      </c>
      <c r="N165" s="2272" t="s">
        <v>676</v>
      </c>
      <c r="O165" s="2270" t="s">
        <v>2769</v>
      </c>
      <c r="P165" s="2270">
        <v>0</v>
      </c>
      <c r="Q165" s="2271" t="s">
        <v>676</v>
      </c>
      <c r="R165" s="2271" t="s">
        <v>676</v>
      </c>
      <c r="S165" s="2271" t="s">
        <v>676</v>
      </c>
      <c r="T165" s="2271" t="s">
        <v>676</v>
      </c>
    </row>
    <row r="166" spans="1:20" ht="15">
      <c r="A166" s="2265"/>
      <c r="B166" s="2271" t="s">
        <v>676</v>
      </c>
      <c r="C166" s="2891" t="s">
        <v>676</v>
      </c>
      <c r="D166" s="2889"/>
      <c r="E166" s="2889"/>
      <c r="F166" s="2890"/>
      <c r="G166" s="2892" t="s">
        <v>676</v>
      </c>
      <c r="H166" s="2889"/>
      <c r="I166" s="2888" t="s">
        <v>676</v>
      </c>
      <c r="J166" s="2890"/>
      <c r="K166" s="2271" t="s">
        <v>676</v>
      </c>
      <c r="L166" s="2271" t="s">
        <v>676</v>
      </c>
      <c r="M166" s="2271" t="s">
        <v>676</v>
      </c>
      <c r="N166" s="2272" t="s">
        <v>676</v>
      </c>
      <c r="O166" s="2270" t="s">
        <v>2770</v>
      </c>
      <c r="P166" s="2270">
        <v>0</v>
      </c>
      <c r="Q166" s="2271" t="s">
        <v>676</v>
      </c>
      <c r="R166" s="2271" t="s">
        <v>676</v>
      </c>
      <c r="S166" s="2271" t="s">
        <v>676</v>
      </c>
      <c r="T166" s="2271" t="s">
        <v>676</v>
      </c>
    </row>
    <row r="167" spans="1:20" ht="90">
      <c r="A167" s="2265"/>
      <c r="B167" s="2268">
        <v>11</v>
      </c>
      <c r="C167" s="2882" t="s">
        <v>2788</v>
      </c>
      <c r="D167" s="2883"/>
      <c r="E167" s="2883"/>
      <c r="F167" s="2884"/>
      <c r="G167" s="2882" t="s">
        <v>699</v>
      </c>
      <c r="H167" s="2884"/>
      <c r="I167" s="2882" t="s">
        <v>2762</v>
      </c>
      <c r="J167" s="2884"/>
      <c r="K167" s="2268" t="s">
        <v>2763</v>
      </c>
      <c r="L167" s="2268" t="s">
        <v>2775</v>
      </c>
      <c r="M167" s="2268" t="s">
        <v>2776</v>
      </c>
      <c r="N167" s="2269">
        <v>350000</v>
      </c>
      <c r="O167" s="2270" t="s">
        <v>2766</v>
      </c>
      <c r="P167" s="2270">
        <v>350000</v>
      </c>
      <c r="Q167" s="2268" t="s">
        <v>688</v>
      </c>
      <c r="R167" s="2268" t="s">
        <v>2777</v>
      </c>
      <c r="S167" s="2268" t="s">
        <v>2768</v>
      </c>
      <c r="T167" s="2268"/>
    </row>
    <row r="168" spans="1:20" ht="15">
      <c r="A168" s="2265"/>
      <c r="B168" s="2271" t="s">
        <v>676</v>
      </c>
      <c r="C168" s="2888" t="s">
        <v>676</v>
      </c>
      <c r="D168" s="2889"/>
      <c r="E168" s="2889"/>
      <c r="F168" s="2890"/>
      <c r="G168" s="2888" t="s">
        <v>676</v>
      </c>
      <c r="H168" s="2890"/>
      <c r="I168" s="2888" t="s">
        <v>676</v>
      </c>
      <c r="J168" s="2890"/>
      <c r="K168" s="2271" t="s">
        <v>676</v>
      </c>
      <c r="L168" s="2271" t="s">
        <v>676</v>
      </c>
      <c r="M168" s="2271" t="s">
        <v>676</v>
      </c>
      <c r="N168" s="2272" t="s">
        <v>676</v>
      </c>
      <c r="O168" s="2270" t="s">
        <v>2769</v>
      </c>
      <c r="P168" s="2270">
        <v>0</v>
      </c>
      <c r="Q168" s="2271" t="s">
        <v>676</v>
      </c>
      <c r="R168" s="2271" t="s">
        <v>676</v>
      </c>
      <c r="S168" s="2271" t="s">
        <v>676</v>
      </c>
      <c r="T168" s="2271" t="s">
        <v>676</v>
      </c>
    </row>
    <row r="169" spans="1:20" ht="15">
      <c r="A169" s="2265"/>
      <c r="B169" s="2273" t="s">
        <v>676</v>
      </c>
      <c r="C169" s="2896" t="s">
        <v>676</v>
      </c>
      <c r="D169" s="2942"/>
      <c r="E169" s="2942"/>
      <c r="F169" s="2943"/>
      <c r="G169" s="2899" t="s">
        <v>676</v>
      </c>
      <c r="H169" s="2942"/>
      <c r="I169" s="2900" t="s">
        <v>676</v>
      </c>
      <c r="J169" s="2943"/>
      <c r="K169" s="2273" t="s">
        <v>676</v>
      </c>
      <c r="L169" s="2273" t="s">
        <v>676</v>
      </c>
      <c r="M169" s="2273" t="s">
        <v>676</v>
      </c>
      <c r="N169" s="2274" t="s">
        <v>676</v>
      </c>
      <c r="O169" s="2270" t="s">
        <v>2770</v>
      </c>
      <c r="P169" s="2270">
        <v>0</v>
      </c>
      <c r="Q169" s="2273" t="s">
        <v>676</v>
      </c>
      <c r="R169" s="2273" t="s">
        <v>676</v>
      </c>
      <c r="S169" s="2273" t="s">
        <v>676</v>
      </c>
      <c r="T169" s="2273" t="s">
        <v>676</v>
      </c>
    </row>
    <row r="170" spans="1:20" ht="30">
      <c r="A170" s="2275"/>
      <c r="B170" s="2276" t="s">
        <v>82</v>
      </c>
      <c r="C170" s="2277"/>
      <c r="D170" s="2277"/>
      <c r="E170" s="2277"/>
      <c r="F170" s="2277"/>
      <c r="G170" s="2277"/>
      <c r="H170" s="2277"/>
      <c r="I170" s="2277"/>
      <c r="J170" s="2277"/>
      <c r="K170" s="2277"/>
      <c r="L170" s="2277"/>
      <c r="M170" s="2277"/>
      <c r="N170" s="2277">
        <f>SUM(N137:N169)</f>
        <v>1584000</v>
      </c>
      <c r="O170" s="2277"/>
      <c r="P170" s="2277">
        <f>SUM(P137:P169)</f>
        <v>1584000</v>
      </c>
      <c r="Q170" s="2278"/>
      <c r="R170" s="2278"/>
      <c r="S170" s="2278"/>
      <c r="T170" s="2279"/>
    </row>
    <row r="171" spans="1:20" ht="20.25">
      <c r="A171" s="2280"/>
      <c r="B171" s="2281"/>
      <c r="C171" s="2280"/>
      <c r="D171" s="2280"/>
      <c r="E171" s="2281"/>
      <c r="F171" s="2280"/>
      <c r="G171" s="2280"/>
      <c r="H171" s="2280"/>
      <c r="I171" s="2280"/>
      <c r="J171" s="2282"/>
      <c r="K171" s="2282"/>
      <c r="L171" s="2282"/>
      <c r="M171" s="2283"/>
      <c r="N171" s="2282"/>
      <c r="O171" s="2284" t="s">
        <v>2789</v>
      </c>
      <c r="P171" s="2285"/>
      <c r="Q171" s="2285"/>
      <c r="R171" s="2285"/>
      <c r="S171" s="2285"/>
      <c r="T171" s="2285"/>
    </row>
    <row r="172" spans="1:20" ht="20.25">
      <c r="A172" s="2282"/>
      <c r="B172" s="2282"/>
      <c r="C172" s="2282"/>
      <c r="D172" s="2282"/>
      <c r="E172" s="2282"/>
      <c r="F172" s="2282"/>
      <c r="G172" s="2282"/>
      <c r="H172" s="2282"/>
      <c r="I172" s="2282"/>
      <c r="J172" s="2282"/>
      <c r="K172" s="2282"/>
      <c r="L172" s="2282"/>
      <c r="M172" s="2283"/>
      <c r="N172" s="2282"/>
      <c r="O172" s="2284" t="s">
        <v>2790</v>
      </c>
      <c r="P172" s="2285"/>
      <c r="Q172" s="2285"/>
      <c r="R172" s="2285"/>
      <c r="S172" s="2285"/>
      <c r="T172" s="2285"/>
    </row>
    <row r="173" spans="1:20" ht="23.25">
      <c r="A173" s="2985" t="s">
        <v>2749</v>
      </c>
      <c r="B173" s="2987"/>
      <c r="C173" s="2987"/>
      <c r="D173" s="2987"/>
      <c r="E173" s="2987"/>
      <c r="F173" s="2987"/>
      <c r="G173" s="2987"/>
      <c r="H173" s="2261"/>
      <c r="I173" s="2261"/>
      <c r="J173" s="2261"/>
      <c r="K173" s="2261"/>
      <c r="L173" s="2261"/>
      <c r="M173" s="2262"/>
      <c r="N173" s="2263"/>
      <c r="O173" s="2263"/>
      <c r="P173" s="2263"/>
      <c r="Q173" s="2261"/>
      <c r="R173" s="2261"/>
      <c r="S173" s="2261"/>
      <c r="T173" s="2261"/>
    </row>
    <row r="174" spans="1:20" ht="15">
      <c r="A174" s="2261"/>
      <c r="B174" s="2261"/>
      <c r="C174" s="2261"/>
      <c r="D174" s="2261"/>
      <c r="E174" s="2261"/>
      <c r="F174" s="2261"/>
      <c r="G174" s="2261"/>
      <c r="H174" s="2261"/>
      <c r="I174" s="2261"/>
      <c r="J174" s="2261"/>
      <c r="K174" s="2261"/>
      <c r="L174" s="2261"/>
      <c r="M174" s="2262"/>
      <c r="N174" s="2263"/>
      <c r="O174" s="2263"/>
      <c r="P174" s="2263"/>
      <c r="Q174" s="2261"/>
      <c r="R174" s="2261"/>
      <c r="S174" s="2261"/>
      <c r="T174" s="2261"/>
    </row>
    <row r="175" spans="1:20" ht="15">
      <c r="A175" s="2960" t="s">
        <v>653</v>
      </c>
      <c r="B175" s="2988"/>
      <c r="C175" s="2988"/>
      <c r="D175" s="2261"/>
      <c r="E175" s="2264">
        <v>2020</v>
      </c>
      <c r="F175" s="2261"/>
      <c r="G175" s="2261"/>
      <c r="H175" s="2261"/>
      <c r="I175" s="2261"/>
      <c r="J175" s="2261"/>
      <c r="K175" s="2261"/>
      <c r="L175" s="2261"/>
      <c r="M175" s="2262"/>
      <c r="N175" s="2263"/>
      <c r="O175" s="2263"/>
      <c r="P175" s="2263"/>
      <c r="Q175" s="2261"/>
      <c r="R175" s="2261"/>
      <c r="S175" s="2261"/>
      <c r="T175" s="2261"/>
    </row>
    <row r="176" spans="1:20" ht="15">
      <c r="A176" s="2261"/>
      <c r="B176" s="2261"/>
      <c r="C176" s="2261"/>
      <c r="D176" s="2261"/>
      <c r="E176" s="2261"/>
      <c r="F176" s="2261"/>
      <c r="G176" s="2261"/>
      <c r="H176" s="2261"/>
      <c r="I176" s="2261"/>
      <c r="J176" s="2261"/>
      <c r="K176" s="2261"/>
      <c r="L176" s="2261"/>
      <c r="M176" s="2262"/>
      <c r="N176" s="2263"/>
      <c r="O176" s="2263"/>
      <c r="P176" s="2263"/>
      <c r="Q176" s="2261"/>
      <c r="R176" s="2261"/>
      <c r="S176" s="2261"/>
      <c r="T176" s="2261"/>
    </row>
    <row r="177" spans="1:20" ht="15">
      <c r="A177" s="2960" t="s">
        <v>655</v>
      </c>
      <c r="B177" s="2988"/>
      <c r="C177" s="2988"/>
      <c r="D177" s="2261"/>
      <c r="E177" s="2961" t="s">
        <v>2791</v>
      </c>
      <c r="F177" s="2988"/>
      <c r="G177" s="2988"/>
      <c r="H177" s="2988"/>
      <c r="I177" s="2988"/>
      <c r="J177" s="2261"/>
      <c r="K177" s="2261"/>
      <c r="L177" s="2261"/>
      <c r="M177" s="2262"/>
      <c r="N177" s="2263"/>
      <c r="O177" s="2263"/>
      <c r="P177" s="2263"/>
      <c r="Q177" s="2261"/>
      <c r="R177" s="2261"/>
      <c r="S177" s="2261"/>
      <c r="T177" s="2261"/>
    </row>
    <row r="178" spans="1:20" ht="15">
      <c r="A178" s="2261"/>
      <c r="B178" s="2261"/>
      <c r="C178" s="2261"/>
      <c r="D178" s="2261"/>
      <c r="E178" s="2261"/>
      <c r="F178" s="2261"/>
      <c r="G178" s="2261"/>
      <c r="H178" s="2261"/>
      <c r="I178" s="2261"/>
      <c r="J178" s="2261"/>
      <c r="K178" s="2261"/>
      <c r="L178" s="2261"/>
      <c r="M178" s="2262"/>
      <c r="N178" s="2263"/>
      <c r="O178" s="2263"/>
      <c r="P178" s="2263"/>
      <c r="Q178" s="2261"/>
      <c r="R178" s="2261"/>
      <c r="S178" s="2261"/>
      <c r="T178" s="2261"/>
    </row>
    <row r="179" spans="1:20" ht="126">
      <c r="A179" s="2265"/>
      <c r="B179" s="2266" t="s">
        <v>657</v>
      </c>
      <c r="C179" s="2893" t="s">
        <v>587</v>
      </c>
      <c r="D179" s="2894"/>
      <c r="E179" s="2894"/>
      <c r="F179" s="2895"/>
      <c r="G179" s="2893" t="s">
        <v>2751</v>
      </c>
      <c r="H179" s="2895"/>
      <c r="I179" s="2893" t="s">
        <v>2752</v>
      </c>
      <c r="J179" s="2895"/>
      <c r="K179" s="2266" t="s">
        <v>2753</v>
      </c>
      <c r="L179" s="2266" t="s">
        <v>2754</v>
      </c>
      <c r="M179" s="2266" t="s">
        <v>2755</v>
      </c>
      <c r="N179" s="2267" t="s">
        <v>2756</v>
      </c>
      <c r="O179" s="2267" t="s">
        <v>2757</v>
      </c>
      <c r="P179" s="2267" t="s">
        <v>2758</v>
      </c>
      <c r="Q179" s="2266" t="s">
        <v>623</v>
      </c>
      <c r="R179" s="2266" t="s">
        <v>2759</v>
      </c>
      <c r="S179" s="2266" t="s">
        <v>2760</v>
      </c>
      <c r="T179" s="2266" t="s">
        <v>2761</v>
      </c>
    </row>
    <row r="180" spans="1:20" ht="135">
      <c r="A180" s="2265"/>
      <c r="B180" s="2268">
        <v>1</v>
      </c>
      <c r="C180" s="2882" t="s">
        <v>854</v>
      </c>
      <c r="D180" s="2883"/>
      <c r="E180" s="2883"/>
      <c r="F180" s="2884"/>
      <c r="G180" s="2882" t="s">
        <v>855</v>
      </c>
      <c r="H180" s="2884"/>
      <c r="I180" s="2882" t="s">
        <v>2762</v>
      </c>
      <c r="J180" s="2884"/>
      <c r="K180" s="2268" t="s">
        <v>2763</v>
      </c>
      <c r="L180" s="2268" t="s">
        <v>2775</v>
      </c>
      <c r="M180" s="2268" t="s">
        <v>2765</v>
      </c>
      <c r="N180" s="2269">
        <v>100000</v>
      </c>
      <c r="O180" s="2270" t="s">
        <v>2766</v>
      </c>
      <c r="P180" s="2270">
        <v>100000</v>
      </c>
      <c r="Q180" s="2268"/>
      <c r="R180" s="2268" t="s">
        <v>2767</v>
      </c>
      <c r="S180" s="2268" t="s">
        <v>2768</v>
      </c>
      <c r="T180" s="2268"/>
    </row>
    <row r="181" spans="1:20" ht="15">
      <c r="A181" s="2265"/>
      <c r="B181" s="2271" t="s">
        <v>676</v>
      </c>
      <c r="C181" s="2888" t="s">
        <v>676</v>
      </c>
      <c r="D181" s="2889"/>
      <c r="E181" s="2889"/>
      <c r="F181" s="2890"/>
      <c r="G181" s="2888" t="s">
        <v>676</v>
      </c>
      <c r="H181" s="2890"/>
      <c r="I181" s="2888" t="s">
        <v>676</v>
      </c>
      <c r="J181" s="2890"/>
      <c r="K181" s="2271" t="s">
        <v>676</v>
      </c>
      <c r="L181" s="2271" t="s">
        <v>676</v>
      </c>
      <c r="M181" s="2271" t="s">
        <v>676</v>
      </c>
      <c r="N181" s="2272" t="s">
        <v>676</v>
      </c>
      <c r="O181" s="2270" t="s">
        <v>2769</v>
      </c>
      <c r="P181" s="2270">
        <v>0</v>
      </c>
      <c r="Q181" s="2271" t="s">
        <v>676</v>
      </c>
      <c r="R181" s="2271" t="s">
        <v>676</v>
      </c>
      <c r="S181" s="2271" t="s">
        <v>676</v>
      </c>
      <c r="T181" s="2271" t="s">
        <v>676</v>
      </c>
    </row>
    <row r="182" spans="1:20" ht="15">
      <c r="A182" s="2265"/>
      <c r="B182" s="2271" t="s">
        <v>676</v>
      </c>
      <c r="C182" s="2891" t="s">
        <v>676</v>
      </c>
      <c r="D182" s="2889"/>
      <c r="E182" s="2889"/>
      <c r="F182" s="2890"/>
      <c r="G182" s="2892" t="s">
        <v>676</v>
      </c>
      <c r="H182" s="2889"/>
      <c r="I182" s="2888" t="s">
        <v>676</v>
      </c>
      <c r="J182" s="2890"/>
      <c r="K182" s="2271" t="s">
        <v>676</v>
      </c>
      <c r="L182" s="2271" t="s">
        <v>676</v>
      </c>
      <c r="M182" s="2271" t="s">
        <v>676</v>
      </c>
      <c r="N182" s="2272" t="s">
        <v>676</v>
      </c>
      <c r="O182" s="2270" t="s">
        <v>2770</v>
      </c>
      <c r="P182" s="2270">
        <v>0</v>
      </c>
      <c r="Q182" s="2271" t="s">
        <v>676</v>
      </c>
      <c r="R182" s="2271" t="s">
        <v>676</v>
      </c>
      <c r="S182" s="2271" t="s">
        <v>676</v>
      </c>
      <c r="T182" s="2271" t="s">
        <v>676</v>
      </c>
    </row>
    <row r="183" spans="1:20" ht="135">
      <c r="A183" s="2265"/>
      <c r="B183" s="2268">
        <v>2</v>
      </c>
      <c r="C183" s="2882" t="s">
        <v>2792</v>
      </c>
      <c r="D183" s="2883"/>
      <c r="E183" s="2883"/>
      <c r="F183" s="2884"/>
      <c r="G183" s="2882" t="s">
        <v>2793</v>
      </c>
      <c r="H183" s="2884"/>
      <c r="I183" s="2882" t="s">
        <v>2762</v>
      </c>
      <c r="J183" s="2884"/>
      <c r="K183" s="2268" t="s">
        <v>2763</v>
      </c>
      <c r="L183" s="2268" t="s">
        <v>2775</v>
      </c>
      <c r="M183" s="2268" t="s">
        <v>2765</v>
      </c>
      <c r="N183" s="2269">
        <v>100000</v>
      </c>
      <c r="O183" s="2270" t="s">
        <v>2766</v>
      </c>
      <c r="P183" s="2270">
        <v>100000</v>
      </c>
      <c r="Q183" s="2268"/>
      <c r="R183" s="2268" t="s">
        <v>2767</v>
      </c>
      <c r="S183" s="2268" t="s">
        <v>2768</v>
      </c>
      <c r="T183" s="2268"/>
    </row>
    <row r="184" spans="1:20" ht="15">
      <c r="A184" s="2265"/>
      <c r="B184" s="2271" t="s">
        <v>676</v>
      </c>
      <c r="C184" s="2888" t="s">
        <v>676</v>
      </c>
      <c r="D184" s="2889"/>
      <c r="E184" s="2889"/>
      <c r="F184" s="2890"/>
      <c r="G184" s="2888" t="s">
        <v>676</v>
      </c>
      <c r="H184" s="2890"/>
      <c r="I184" s="2888" t="s">
        <v>676</v>
      </c>
      <c r="J184" s="2890"/>
      <c r="K184" s="2271" t="s">
        <v>676</v>
      </c>
      <c r="L184" s="2271" t="s">
        <v>676</v>
      </c>
      <c r="M184" s="2271" t="s">
        <v>676</v>
      </c>
      <c r="N184" s="2272" t="s">
        <v>676</v>
      </c>
      <c r="O184" s="2270" t="s">
        <v>2769</v>
      </c>
      <c r="P184" s="2270">
        <v>0</v>
      </c>
      <c r="Q184" s="2271" t="s">
        <v>676</v>
      </c>
      <c r="R184" s="2271" t="s">
        <v>676</v>
      </c>
      <c r="S184" s="2271" t="s">
        <v>676</v>
      </c>
      <c r="T184" s="2271" t="s">
        <v>676</v>
      </c>
    </row>
    <row r="185" spans="1:20" ht="15">
      <c r="A185" s="2265"/>
      <c r="B185" s="2271" t="s">
        <v>676</v>
      </c>
      <c r="C185" s="2891" t="s">
        <v>676</v>
      </c>
      <c r="D185" s="2889"/>
      <c r="E185" s="2889"/>
      <c r="F185" s="2890"/>
      <c r="G185" s="2892" t="s">
        <v>676</v>
      </c>
      <c r="H185" s="2889"/>
      <c r="I185" s="2888" t="s">
        <v>676</v>
      </c>
      <c r="J185" s="2890"/>
      <c r="K185" s="2271" t="s">
        <v>676</v>
      </c>
      <c r="L185" s="2271" t="s">
        <v>676</v>
      </c>
      <c r="M185" s="2271" t="s">
        <v>676</v>
      </c>
      <c r="N185" s="2272" t="s">
        <v>676</v>
      </c>
      <c r="O185" s="2270" t="s">
        <v>2770</v>
      </c>
      <c r="P185" s="2270">
        <v>0</v>
      </c>
      <c r="Q185" s="2271" t="s">
        <v>676</v>
      </c>
      <c r="R185" s="2271" t="s">
        <v>676</v>
      </c>
      <c r="S185" s="2271" t="s">
        <v>676</v>
      </c>
      <c r="T185" s="2271" t="s">
        <v>676</v>
      </c>
    </row>
    <row r="186" spans="1:20" ht="135">
      <c r="A186" s="2265"/>
      <c r="B186" s="2268">
        <v>3</v>
      </c>
      <c r="C186" s="2882" t="s">
        <v>172</v>
      </c>
      <c r="D186" s="2883"/>
      <c r="E186" s="2883"/>
      <c r="F186" s="2884"/>
      <c r="G186" s="2882" t="s">
        <v>2794</v>
      </c>
      <c r="H186" s="2884"/>
      <c r="I186" s="2882" t="s">
        <v>2762</v>
      </c>
      <c r="J186" s="2884"/>
      <c r="K186" s="2268" t="s">
        <v>2763</v>
      </c>
      <c r="L186" s="2268" t="s">
        <v>2775</v>
      </c>
      <c r="M186" s="2268" t="s">
        <v>2765</v>
      </c>
      <c r="N186" s="2269">
        <v>100000</v>
      </c>
      <c r="O186" s="2270" t="s">
        <v>2766</v>
      </c>
      <c r="P186" s="2270">
        <v>100000</v>
      </c>
      <c r="Q186" s="2268"/>
      <c r="R186" s="2268" t="s">
        <v>2767</v>
      </c>
      <c r="S186" s="2268" t="s">
        <v>2768</v>
      </c>
      <c r="T186" s="2268"/>
    </row>
    <row r="187" spans="1:20" ht="15">
      <c r="A187" s="2265"/>
      <c r="B187" s="2271" t="s">
        <v>676</v>
      </c>
      <c r="C187" s="2888" t="s">
        <v>676</v>
      </c>
      <c r="D187" s="2889"/>
      <c r="E187" s="2889"/>
      <c r="F187" s="2890"/>
      <c r="G187" s="2888" t="s">
        <v>676</v>
      </c>
      <c r="H187" s="2890"/>
      <c r="I187" s="2888" t="s">
        <v>676</v>
      </c>
      <c r="J187" s="2890"/>
      <c r="K187" s="2271" t="s">
        <v>676</v>
      </c>
      <c r="L187" s="2271" t="s">
        <v>676</v>
      </c>
      <c r="M187" s="2271" t="s">
        <v>676</v>
      </c>
      <c r="N187" s="2272" t="s">
        <v>676</v>
      </c>
      <c r="O187" s="2270" t="s">
        <v>2769</v>
      </c>
      <c r="P187" s="2270">
        <v>0</v>
      </c>
      <c r="Q187" s="2271" t="s">
        <v>676</v>
      </c>
      <c r="R187" s="2271" t="s">
        <v>676</v>
      </c>
      <c r="S187" s="2271" t="s">
        <v>676</v>
      </c>
      <c r="T187" s="2271" t="s">
        <v>676</v>
      </c>
    </row>
    <row r="188" spans="1:20" ht="15">
      <c r="A188" s="2265"/>
      <c r="B188" s="2271" t="s">
        <v>676</v>
      </c>
      <c r="C188" s="2891" t="s">
        <v>676</v>
      </c>
      <c r="D188" s="2889"/>
      <c r="E188" s="2889"/>
      <c r="F188" s="2890"/>
      <c r="G188" s="2892" t="s">
        <v>676</v>
      </c>
      <c r="H188" s="2889"/>
      <c r="I188" s="2888" t="s">
        <v>676</v>
      </c>
      <c r="J188" s="2890"/>
      <c r="K188" s="2271" t="s">
        <v>676</v>
      </c>
      <c r="L188" s="2271" t="s">
        <v>676</v>
      </c>
      <c r="M188" s="2271" t="s">
        <v>676</v>
      </c>
      <c r="N188" s="2272" t="s">
        <v>676</v>
      </c>
      <c r="O188" s="2270" t="s">
        <v>2770</v>
      </c>
      <c r="P188" s="2270">
        <v>0</v>
      </c>
      <c r="Q188" s="2271" t="s">
        <v>676</v>
      </c>
      <c r="R188" s="2271" t="s">
        <v>676</v>
      </c>
      <c r="S188" s="2271" t="s">
        <v>676</v>
      </c>
      <c r="T188" s="2271" t="s">
        <v>676</v>
      </c>
    </row>
    <row r="189" spans="1:20" ht="90">
      <c r="A189" s="2265"/>
      <c r="B189" s="2268">
        <v>4</v>
      </c>
      <c r="C189" s="2882" t="s">
        <v>2030</v>
      </c>
      <c r="D189" s="2883"/>
      <c r="E189" s="2883"/>
      <c r="F189" s="2884"/>
      <c r="G189" s="2882" t="s">
        <v>1438</v>
      </c>
      <c r="H189" s="2884"/>
      <c r="I189" s="2882" t="s">
        <v>2762</v>
      </c>
      <c r="J189" s="2884"/>
      <c r="K189" s="2268" t="s">
        <v>2763</v>
      </c>
      <c r="L189" s="2268" t="s">
        <v>2775</v>
      </c>
      <c r="M189" s="2268" t="s">
        <v>2776</v>
      </c>
      <c r="N189" s="2269">
        <v>500000</v>
      </c>
      <c r="O189" s="2270" t="s">
        <v>2766</v>
      </c>
      <c r="P189" s="2270">
        <v>500000</v>
      </c>
      <c r="Q189" s="2268" t="s">
        <v>688</v>
      </c>
      <c r="R189" s="2268" t="s">
        <v>2767</v>
      </c>
      <c r="S189" s="2268" t="s">
        <v>2768</v>
      </c>
      <c r="T189" s="2268"/>
    </row>
    <row r="190" spans="1:20" ht="15">
      <c r="A190" s="2265"/>
      <c r="B190" s="2271" t="s">
        <v>676</v>
      </c>
      <c r="C190" s="2888" t="s">
        <v>676</v>
      </c>
      <c r="D190" s="2889"/>
      <c r="E190" s="2889"/>
      <c r="F190" s="2890"/>
      <c r="G190" s="2888" t="s">
        <v>676</v>
      </c>
      <c r="H190" s="2890"/>
      <c r="I190" s="2888" t="s">
        <v>676</v>
      </c>
      <c r="J190" s="2890"/>
      <c r="K190" s="2271" t="s">
        <v>676</v>
      </c>
      <c r="L190" s="2271" t="s">
        <v>676</v>
      </c>
      <c r="M190" s="2271" t="s">
        <v>676</v>
      </c>
      <c r="N190" s="2272" t="s">
        <v>676</v>
      </c>
      <c r="O190" s="2270" t="s">
        <v>2769</v>
      </c>
      <c r="P190" s="2270">
        <v>0</v>
      </c>
      <c r="Q190" s="2271" t="s">
        <v>676</v>
      </c>
      <c r="R190" s="2271" t="s">
        <v>676</v>
      </c>
      <c r="S190" s="2271" t="s">
        <v>676</v>
      </c>
      <c r="T190" s="2271" t="s">
        <v>676</v>
      </c>
    </row>
    <row r="191" spans="1:20" ht="15">
      <c r="A191" s="2265"/>
      <c r="B191" s="2271" t="s">
        <v>676</v>
      </c>
      <c r="C191" s="2891" t="s">
        <v>676</v>
      </c>
      <c r="D191" s="2889"/>
      <c r="E191" s="2889"/>
      <c r="F191" s="2890"/>
      <c r="G191" s="2892" t="s">
        <v>676</v>
      </c>
      <c r="H191" s="2889"/>
      <c r="I191" s="2888" t="s">
        <v>676</v>
      </c>
      <c r="J191" s="2890"/>
      <c r="K191" s="2271" t="s">
        <v>676</v>
      </c>
      <c r="L191" s="2271" t="s">
        <v>676</v>
      </c>
      <c r="M191" s="2271" t="s">
        <v>676</v>
      </c>
      <c r="N191" s="2272" t="s">
        <v>676</v>
      </c>
      <c r="O191" s="2270" t="s">
        <v>2770</v>
      </c>
      <c r="P191" s="2270">
        <v>0</v>
      </c>
      <c r="Q191" s="2271" t="s">
        <v>676</v>
      </c>
      <c r="R191" s="2271" t="s">
        <v>676</v>
      </c>
      <c r="S191" s="2271" t="s">
        <v>676</v>
      </c>
      <c r="T191" s="2271" t="s">
        <v>676</v>
      </c>
    </row>
    <row r="192" spans="1:20" ht="135">
      <c r="A192" s="2265"/>
      <c r="B192" s="2268">
        <v>5</v>
      </c>
      <c r="C192" s="2882" t="s">
        <v>2795</v>
      </c>
      <c r="D192" s="2883"/>
      <c r="E192" s="2883"/>
      <c r="F192" s="2884"/>
      <c r="G192" s="2882" t="s">
        <v>2796</v>
      </c>
      <c r="H192" s="2884"/>
      <c r="I192" s="2882" t="s">
        <v>2762</v>
      </c>
      <c r="J192" s="2884"/>
      <c r="K192" s="2268" t="s">
        <v>2763</v>
      </c>
      <c r="L192" s="2268" t="s">
        <v>2764</v>
      </c>
      <c r="M192" s="2268" t="s">
        <v>2765</v>
      </c>
      <c r="N192" s="2269">
        <v>80000</v>
      </c>
      <c r="O192" s="2270" t="s">
        <v>2766</v>
      </c>
      <c r="P192" s="2270">
        <v>80000</v>
      </c>
      <c r="Q192" s="2268"/>
      <c r="R192" s="2268" t="s">
        <v>2767</v>
      </c>
      <c r="S192" s="2268" t="s">
        <v>2768</v>
      </c>
      <c r="T192" s="2268"/>
    </row>
    <row r="193" spans="1:20" ht="15">
      <c r="A193" s="2265"/>
      <c r="B193" s="2271" t="s">
        <v>676</v>
      </c>
      <c r="C193" s="2888" t="s">
        <v>676</v>
      </c>
      <c r="D193" s="2889"/>
      <c r="E193" s="2889"/>
      <c r="F193" s="2890"/>
      <c r="G193" s="2888" t="s">
        <v>676</v>
      </c>
      <c r="H193" s="2890"/>
      <c r="I193" s="2888" t="s">
        <v>676</v>
      </c>
      <c r="J193" s="2890"/>
      <c r="K193" s="2271" t="s">
        <v>676</v>
      </c>
      <c r="L193" s="2271" t="s">
        <v>676</v>
      </c>
      <c r="M193" s="2271" t="s">
        <v>676</v>
      </c>
      <c r="N193" s="2272" t="s">
        <v>676</v>
      </c>
      <c r="O193" s="2270" t="s">
        <v>2769</v>
      </c>
      <c r="P193" s="2270">
        <v>0</v>
      </c>
      <c r="Q193" s="2271" t="s">
        <v>676</v>
      </c>
      <c r="R193" s="2271" t="s">
        <v>676</v>
      </c>
      <c r="S193" s="2271" t="s">
        <v>676</v>
      </c>
      <c r="T193" s="2271" t="s">
        <v>676</v>
      </c>
    </row>
    <row r="194" spans="1:20" ht="15">
      <c r="A194" s="2265"/>
      <c r="B194" s="2271" t="s">
        <v>676</v>
      </c>
      <c r="C194" s="2891" t="s">
        <v>676</v>
      </c>
      <c r="D194" s="2889"/>
      <c r="E194" s="2889"/>
      <c r="F194" s="2890"/>
      <c r="G194" s="2892" t="s">
        <v>676</v>
      </c>
      <c r="H194" s="2889"/>
      <c r="I194" s="2888" t="s">
        <v>676</v>
      </c>
      <c r="J194" s="2890"/>
      <c r="K194" s="2271" t="s">
        <v>676</v>
      </c>
      <c r="L194" s="2271" t="s">
        <v>676</v>
      </c>
      <c r="M194" s="2271" t="s">
        <v>676</v>
      </c>
      <c r="N194" s="2272" t="s">
        <v>676</v>
      </c>
      <c r="O194" s="2270" t="s">
        <v>2770</v>
      </c>
      <c r="P194" s="2270">
        <v>0</v>
      </c>
      <c r="Q194" s="2271" t="s">
        <v>676</v>
      </c>
      <c r="R194" s="2271" t="s">
        <v>676</v>
      </c>
      <c r="S194" s="2271" t="s">
        <v>676</v>
      </c>
      <c r="T194" s="2271" t="s">
        <v>676</v>
      </c>
    </row>
    <row r="195" spans="1:20" ht="135">
      <c r="A195" s="2265"/>
      <c r="B195" s="2268">
        <v>6</v>
      </c>
      <c r="C195" s="2882" t="s">
        <v>767</v>
      </c>
      <c r="D195" s="2883"/>
      <c r="E195" s="2883"/>
      <c r="F195" s="2884"/>
      <c r="G195" s="2882" t="s">
        <v>768</v>
      </c>
      <c r="H195" s="2884"/>
      <c r="I195" s="2882" t="s">
        <v>2762</v>
      </c>
      <c r="J195" s="2884"/>
      <c r="K195" s="2268" t="s">
        <v>2763</v>
      </c>
      <c r="L195" s="2268" t="s">
        <v>2764</v>
      </c>
      <c r="M195" s="2268" t="s">
        <v>2765</v>
      </c>
      <c r="N195" s="2269">
        <v>100000</v>
      </c>
      <c r="O195" s="2270" t="s">
        <v>2766</v>
      </c>
      <c r="P195" s="2270">
        <v>100000</v>
      </c>
      <c r="Q195" s="2268"/>
      <c r="R195" s="2268" t="s">
        <v>2767</v>
      </c>
      <c r="S195" s="2268" t="s">
        <v>2768</v>
      </c>
      <c r="T195" s="2268"/>
    </row>
    <row r="196" spans="1:20" ht="15">
      <c r="A196" s="2265"/>
      <c r="B196" s="2271" t="s">
        <v>676</v>
      </c>
      <c r="C196" s="2888" t="s">
        <v>676</v>
      </c>
      <c r="D196" s="2889"/>
      <c r="E196" s="2889"/>
      <c r="F196" s="2890"/>
      <c r="G196" s="2888" t="s">
        <v>676</v>
      </c>
      <c r="H196" s="2890"/>
      <c r="I196" s="2888" t="s">
        <v>676</v>
      </c>
      <c r="J196" s="2890"/>
      <c r="K196" s="2271" t="s">
        <v>676</v>
      </c>
      <c r="L196" s="2271" t="s">
        <v>676</v>
      </c>
      <c r="M196" s="2271" t="s">
        <v>676</v>
      </c>
      <c r="N196" s="2272" t="s">
        <v>676</v>
      </c>
      <c r="O196" s="2270" t="s">
        <v>2769</v>
      </c>
      <c r="P196" s="2270">
        <v>0</v>
      </c>
      <c r="Q196" s="2271" t="s">
        <v>676</v>
      </c>
      <c r="R196" s="2271" t="s">
        <v>676</v>
      </c>
      <c r="S196" s="2271" t="s">
        <v>676</v>
      </c>
      <c r="T196" s="2271" t="s">
        <v>676</v>
      </c>
    </row>
    <row r="197" spans="1:20" ht="15">
      <c r="A197" s="2265"/>
      <c r="B197" s="2271" t="s">
        <v>676</v>
      </c>
      <c r="C197" s="2891" t="s">
        <v>676</v>
      </c>
      <c r="D197" s="2889"/>
      <c r="E197" s="2889"/>
      <c r="F197" s="2890"/>
      <c r="G197" s="2892" t="s">
        <v>676</v>
      </c>
      <c r="H197" s="2889"/>
      <c r="I197" s="2888" t="s">
        <v>676</v>
      </c>
      <c r="J197" s="2890"/>
      <c r="K197" s="2271" t="s">
        <v>676</v>
      </c>
      <c r="L197" s="2271" t="s">
        <v>676</v>
      </c>
      <c r="M197" s="2271" t="s">
        <v>676</v>
      </c>
      <c r="N197" s="2272" t="s">
        <v>676</v>
      </c>
      <c r="O197" s="2270" t="s">
        <v>2770</v>
      </c>
      <c r="P197" s="2270">
        <v>0</v>
      </c>
      <c r="Q197" s="2271" t="s">
        <v>676</v>
      </c>
      <c r="R197" s="2271" t="s">
        <v>676</v>
      </c>
      <c r="S197" s="2271" t="s">
        <v>676</v>
      </c>
      <c r="T197" s="2271" t="s">
        <v>676</v>
      </c>
    </row>
    <row r="198" spans="1:20" ht="165">
      <c r="A198" s="2265"/>
      <c r="B198" s="2268">
        <v>7</v>
      </c>
      <c r="C198" s="2882" t="s">
        <v>890</v>
      </c>
      <c r="D198" s="2883"/>
      <c r="E198" s="2883"/>
      <c r="F198" s="2884"/>
      <c r="G198" s="2882" t="s">
        <v>2797</v>
      </c>
      <c r="H198" s="2884"/>
      <c r="I198" s="2882" t="s">
        <v>2762</v>
      </c>
      <c r="J198" s="2884"/>
      <c r="K198" s="2268" t="s">
        <v>2763</v>
      </c>
      <c r="L198" s="2268" t="s">
        <v>2775</v>
      </c>
      <c r="M198" s="2268" t="s">
        <v>2798</v>
      </c>
      <c r="N198" s="2269">
        <v>1100000</v>
      </c>
      <c r="O198" s="2270" t="s">
        <v>2766</v>
      </c>
      <c r="P198" s="2270">
        <v>1100000</v>
      </c>
      <c r="Q198" s="2268"/>
      <c r="R198" s="2268" t="s">
        <v>2799</v>
      </c>
      <c r="S198" s="2268" t="s">
        <v>2768</v>
      </c>
      <c r="T198" s="2268"/>
    </row>
    <row r="199" spans="1:20" ht="15">
      <c r="A199" s="2265"/>
      <c r="B199" s="2271" t="s">
        <v>676</v>
      </c>
      <c r="C199" s="2888" t="s">
        <v>676</v>
      </c>
      <c r="D199" s="2889"/>
      <c r="E199" s="2889"/>
      <c r="F199" s="2890"/>
      <c r="G199" s="2888" t="s">
        <v>676</v>
      </c>
      <c r="H199" s="2890"/>
      <c r="I199" s="2888" t="s">
        <v>676</v>
      </c>
      <c r="J199" s="2890"/>
      <c r="K199" s="2271" t="s">
        <v>676</v>
      </c>
      <c r="L199" s="2271" t="s">
        <v>676</v>
      </c>
      <c r="M199" s="2271" t="s">
        <v>676</v>
      </c>
      <c r="N199" s="2272" t="s">
        <v>676</v>
      </c>
      <c r="O199" s="2270" t="s">
        <v>2769</v>
      </c>
      <c r="P199" s="2270">
        <v>0</v>
      </c>
      <c r="Q199" s="2271" t="s">
        <v>676</v>
      </c>
      <c r="R199" s="2271" t="s">
        <v>676</v>
      </c>
      <c r="S199" s="2271" t="s">
        <v>676</v>
      </c>
      <c r="T199" s="2271" t="s">
        <v>676</v>
      </c>
    </row>
    <row r="200" spans="1:20" ht="15">
      <c r="A200" s="2265"/>
      <c r="B200" s="2271" t="s">
        <v>676</v>
      </c>
      <c r="C200" s="2891" t="s">
        <v>676</v>
      </c>
      <c r="D200" s="2889"/>
      <c r="E200" s="2889"/>
      <c r="F200" s="2890"/>
      <c r="G200" s="2892" t="s">
        <v>676</v>
      </c>
      <c r="H200" s="2889"/>
      <c r="I200" s="2888" t="s">
        <v>676</v>
      </c>
      <c r="J200" s="2890"/>
      <c r="K200" s="2271" t="s">
        <v>676</v>
      </c>
      <c r="L200" s="2271" t="s">
        <v>676</v>
      </c>
      <c r="M200" s="2271" t="s">
        <v>676</v>
      </c>
      <c r="N200" s="2272" t="s">
        <v>676</v>
      </c>
      <c r="O200" s="2270" t="s">
        <v>2770</v>
      </c>
      <c r="P200" s="2270">
        <v>0</v>
      </c>
      <c r="Q200" s="2271" t="s">
        <v>676</v>
      </c>
      <c r="R200" s="2271" t="s">
        <v>676</v>
      </c>
      <c r="S200" s="2271" t="s">
        <v>676</v>
      </c>
      <c r="T200" s="2271" t="s">
        <v>676</v>
      </c>
    </row>
    <row r="201" spans="1:20" ht="90">
      <c r="A201" s="2265"/>
      <c r="B201" s="2268">
        <v>8</v>
      </c>
      <c r="C201" s="2882" t="s">
        <v>2800</v>
      </c>
      <c r="D201" s="2883"/>
      <c r="E201" s="2883"/>
      <c r="F201" s="2884"/>
      <c r="G201" s="2882" t="s">
        <v>2801</v>
      </c>
      <c r="H201" s="2884"/>
      <c r="I201" s="2882" t="s">
        <v>2762</v>
      </c>
      <c r="J201" s="2884"/>
      <c r="K201" s="2268" t="s">
        <v>2802</v>
      </c>
      <c r="L201" s="2268" t="s">
        <v>2775</v>
      </c>
      <c r="M201" s="2268" t="s">
        <v>2776</v>
      </c>
      <c r="N201" s="2269">
        <v>7500000</v>
      </c>
      <c r="O201" s="2270" t="s">
        <v>2766</v>
      </c>
      <c r="P201" s="2270">
        <v>7500000</v>
      </c>
      <c r="Q201" s="2268" t="s">
        <v>892</v>
      </c>
      <c r="R201" s="2268" t="s">
        <v>2767</v>
      </c>
      <c r="S201" s="2268" t="s">
        <v>2768</v>
      </c>
      <c r="T201" s="2268"/>
    </row>
    <row r="202" spans="1:20" ht="15">
      <c r="A202" s="2265"/>
      <c r="B202" s="2271" t="s">
        <v>676</v>
      </c>
      <c r="C202" s="2888" t="s">
        <v>676</v>
      </c>
      <c r="D202" s="2889"/>
      <c r="E202" s="2889"/>
      <c r="F202" s="2890"/>
      <c r="G202" s="2888" t="s">
        <v>676</v>
      </c>
      <c r="H202" s="2890"/>
      <c r="I202" s="2888" t="s">
        <v>676</v>
      </c>
      <c r="J202" s="2890"/>
      <c r="K202" s="2271" t="s">
        <v>676</v>
      </c>
      <c r="L202" s="2271" t="s">
        <v>676</v>
      </c>
      <c r="M202" s="2271" t="s">
        <v>676</v>
      </c>
      <c r="N202" s="2272" t="s">
        <v>676</v>
      </c>
      <c r="O202" s="2270" t="s">
        <v>2769</v>
      </c>
      <c r="P202" s="2270">
        <v>0</v>
      </c>
      <c r="Q202" s="2271" t="s">
        <v>676</v>
      </c>
      <c r="R202" s="2271" t="s">
        <v>676</v>
      </c>
      <c r="S202" s="2271" t="s">
        <v>676</v>
      </c>
      <c r="T202" s="2271" t="s">
        <v>676</v>
      </c>
    </row>
    <row r="203" spans="1:20" ht="15">
      <c r="A203" s="2265"/>
      <c r="B203" s="2271" t="s">
        <v>676</v>
      </c>
      <c r="C203" s="2891" t="s">
        <v>676</v>
      </c>
      <c r="D203" s="2889"/>
      <c r="E203" s="2889"/>
      <c r="F203" s="2890"/>
      <c r="G203" s="2892" t="s">
        <v>676</v>
      </c>
      <c r="H203" s="2889"/>
      <c r="I203" s="2888" t="s">
        <v>676</v>
      </c>
      <c r="J203" s="2890"/>
      <c r="K203" s="2271" t="s">
        <v>676</v>
      </c>
      <c r="L203" s="2271" t="s">
        <v>676</v>
      </c>
      <c r="M203" s="2271" t="s">
        <v>676</v>
      </c>
      <c r="N203" s="2272" t="s">
        <v>676</v>
      </c>
      <c r="O203" s="2270" t="s">
        <v>2770</v>
      </c>
      <c r="P203" s="2270">
        <v>0</v>
      </c>
      <c r="Q203" s="2271" t="s">
        <v>676</v>
      </c>
      <c r="R203" s="2271" t="s">
        <v>676</v>
      </c>
      <c r="S203" s="2271" t="s">
        <v>676</v>
      </c>
      <c r="T203" s="2271" t="s">
        <v>676</v>
      </c>
    </row>
    <row r="204" spans="1:20" ht="135">
      <c r="A204" s="2265"/>
      <c r="B204" s="2268">
        <v>9</v>
      </c>
      <c r="C204" s="2882" t="s">
        <v>2803</v>
      </c>
      <c r="D204" s="2883"/>
      <c r="E204" s="2883"/>
      <c r="F204" s="2884"/>
      <c r="G204" s="2882" t="s">
        <v>1106</v>
      </c>
      <c r="H204" s="2884"/>
      <c r="I204" s="2882" t="s">
        <v>2762</v>
      </c>
      <c r="J204" s="2884"/>
      <c r="K204" s="2268" t="s">
        <v>2763</v>
      </c>
      <c r="L204" s="2268" t="s">
        <v>2775</v>
      </c>
      <c r="M204" s="2268" t="s">
        <v>2765</v>
      </c>
      <c r="N204" s="2269">
        <v>100000</v>
      </c>
      <c r="O204" s="2270" t="s">
        <v>2766</v>
      </c>
      <c r="P204" s="2270">
        <v>100000</v>
      </c>
      <c r="Q204" s="2268"/>
      <c r="R204" s="2268" t="s">
        <v>2767</v>
      </c>
      <c r="S204" s="2268" t="s">
        <v>2768</v>
      </c>
      <c r="T204" s="2268"/>
    </row>
    <row r="205" spans="1:20" ht="15">
      <c r="A205" s="2265"/>
      <c r="B205" s="2271" t="s">
        <v>676</v>
      </c>
      <c r="C205" s="2888" t="s">
        <v>676</v>
      </c>
      <c r="D205" s="2889"/>
      <c r="E205" s="2889"/>
      <c r="F205" s="2890"/>
      <c r="G205" s="2888" t="s">
        <v>676</v>
      </c>
      <c r="H205" s="2890"/>
      <c r="I205" s="2888" t="s">
        <v>676</v>
      </c>
      <c r="J205" s="2890"/>
      <c r="K205" s="2271" t="s">
        <v>676</v>
      </c>
      <c r="L205" s="2271" t="s">
        <v>676</v>
      </c>
      <c r="M205" s="2271" t="s">
        <v>676</v>
      </c>
      <c r="N205" s="2272" t="s">
        <v>676</v>
      </c>
      <c r="O205" s="2270" t="s">
        <v>2769</v>
      </c>
      <c r="P205" s="2270">
        <v>0</v>
      </c>
      <c r="Q205" s="2271" t="s">
        <v>676</v>
      </c>
      <c r="R205" s="2271" t="s">
        <v>676</v>
      </c>
      <c r="S205" s="2271" t="s">
        <v>676</v>
      </c>
      <c r="T205" s="2271" t="s">
        <v>676</v>
      </c>
    </row>
    <row r="206" spans="1:20" ht="15">
      <c r="A206" s="2265"/>
      <c r="B206" s="2271" t="s">
        <v>676</v>
      </c>
      <c r="C206" s="2891" t="s">
        <v>676</v>
      </c>
      <c r="D206" s="2889"/>
      <c r="E206" s="2889"/>
      <c r="F206" s="2890"/>
      <c r="G206" s="2892" t="s">
        <v>676</v>
      </c>
      <c r="H206" s="2889"/>
      <c r="I206" s="2888" t="s">
        <v>676</v>
      </c>
      <c r="J206" s="2890"/>
      <c r="K206" s="2271" t="s">
        <v>676</v>
      </c>
      <c r="L206" s="2271" t="s">
        <v>676</v>
      </c>
      <c r="M206" s="2271" t="s">
        <v>676</v>
      </c>
      <c r="N206" s="2272" t="s">
        <v>676</v>
      </c>
      <c r="O206" s="2270" t="s">
        <v>2770</v>
      </c>
      <c r="P206" s="2270">
        <v>0</v>
      </c>
      <c r="Q206" s="2271" t="s">
        <v>676</v>
      </c>
      <c r="R206" s="2271" t="s">
        <v>676</v>
      </c>
      <c r="S206" s="2271" t="s">
        <v>676</v>
      </c>
      <c r="T206" s="2271" t="s">
        <v>676</v>
      </c>
    </row>
    <row r="207" spans="1:20" ht="90">
      <c r="A207" s="2265"/>
      <c r="B207" s="2268">
        <v>10</v>
      </c>
      <c r="C207" s="2882" t="s">
        <v>2804</v>
      </c>
      <c r="D207" s="2883"/>
      <c r="E207" s="2883"/>
      <c r="F207" s="2884"/>
      <c r="G207" s="2882" t="s">
        <v>985</v>
      </c>
      <c r="H207" s="2884"/>
      <c r="I207" s="2882" t="s">
        <v>2762</v>
      </c>
      <c r="J207" s="2884"/>
      <c r="K207" s="2268" t="s">
        <v>2763</v>
      </c>
      <c r="L207" s="2268" t="s">
        <v>2764</v>
      </c>
      <c r="M207" s="2268" t="s">
        <v>2776</v>
      </c>
      <c r="N207" s="2269">
        <v>600000</v>
      </c>
      <c r="O207" s="2270" t="s">
        <v>2766</v>
      </c>
      <c r="P207" s="2270">
        <v>600000</v>
      </c>
      <c r="Q207" s="2268" t="s">
        <v>688</v>
      </c>
      <c r="R207" s="2268" t="s">
        <v>2767</v>
      </c>
      <c r="S207" s="2268" t="s">
        <v>2768</v>
      </c>
      <c r="T207" s="2268"/>
    </row>
    <row r="208" spans="1:20" ht="15">
      <c r="A208" s="2265"/>
      <c r="B208" s="2271" t="s">
        <v>676</v>
      </c>
      <c r="C208" s="2888" t="s">
        <v>676</v>
      </c>
      <c r="D208" s="2889"/>
      <c r="E208" s="2889"/>
      <c r="F208" s="2890"/>
      <c r="G208" s="2888" t="s">
        <v>676</v>
      </c>
      <c r="H208" s="2890"/>
      <c r="I208" s="2888" t="s">
        <v>676</v>
      </c>
      <c r="J208" s="2890"/>
      <c r="K208" s="2271" t="s">
        <v>676</v>
      </c>
      <c r="L208" s="2271" t="s">
        <v>676</v>
      </c>
      <c r="M208" s="2271" t="s">
        <v>676</v>
      </c>
      <c r="N208" s="2272" t="s">
        <v>676</v>
      </c>
      <c r="O208" s="2270" t="s">
        <v>2769</v>
      </c>
      <c r="P208" s="2270">
        <v>0</v>
      </c>
      <c r="Q208" s="2271" t="s">
        <v>676</v>
      </c>
      <c r="R208" s="2271" t="s">
        <v>676</v>
      </c>
      <c r="S208" s="2271" t="s">
        <v>676</v>
      </c>
      <c r="T208" s="2271" t="s">
        <v>676</v>
      </c>
    </row>
    <row r="209" spans="1:20" ht="15">
      <c r="A209" s="2265"/>
      <c r="B209" s="2271" t="s">
        <v>676</v>
      </c>
      <c r="C209" s="2891" t="s">
        <v>676</v>
      </c>
      <c r="D209" s="2889"/>
      <c r="E209" s="2889"/>
      <c r="F209" s="2890"/>
      <c r="G209" s="2892" t="s">
        <v>676</v>
      </c>
      <c r="H209" s="2889"/>
      <c r="I209" s="2888" t="s">
        <v>676</v>
      </c>
      <c r="J209" s="2890"/>
      <c r="K209" s="2271" t="s">
        <v>676</v>
      </c>
      <c r="L209" s="2271" t="s">
        <v>676</v>
      </c>
      <c r="M209" s="2271" t="s">
        <v>676</v>
      </c>
      <c r="N209" s="2272" t="s">
        <v>676</v>
      </c>
      <c r="O209" s="2270" t="s">
        <v>2770</v>
      </c>
      <c r="P209" s="2270">
        <v>0</v>
      </c>
      <c r="Q209" s="2271" t="s">
        <v>676</v>
      </c>
      <c r="R209" s="2271" t="s">
        <v>676</v>
      </c>
      <c r="S209" s="2271" t="s">
        <v>676</v>
      </c>
      <c r="T209" s="2271" t="s">
        <v>676</v>
      </c>
    </row>
    <row r="210" spans="1:20" ht="135">
      <c r="A210" s="2265"/>
      <c r="B210" s="2268">
        <v>11</v>
      </c>
      <c r="C210" s="2882" t="s">
        <v>819</v>
      </c>
      <c r="D210" s="2883"/>
      <c r="E210" s="2883"/>
      <c r="F210" s="2884"/>
      <c r="G210" s="2882" t="s">
        <v>820</v>
      </c>
      <c r="H210" s="2884"/>
      <c r="I210" s="2882" t="s">
        <v>2762</v>
      </c>
      <c r="J210" s="2884"/>
      <c r="K210" s="2268" t="s">
        <v>2763</v>
      </c>
      <c r="L210" s="2268" t="s">
        <v>2775</v>
      </c>
      <c r="M210" s="2268" t="s">
        <v>2765</v>
      </c>
      <c r="N210" s="2269">
        <v>100000</v>
      </c>
      <c r="O210" s="2270" t="s">
        <v>2766</v>
      </c>
      <c r="P210" s="2270">
        <v>100000</v>
      </c>
      <c r="Q210" s="2268"/>
      <c r="R210" s="2268" t="s">
        <v>2767</v>
      </c>
      <c r="S210" s="2268" t="s">
        <v>2768</v>
      </c>
      <c r="T210" s="2268"/>
    </row>
    <row r="211" spans="1:20" ht="15">
      <c r="A211" s="2265"/>
      <c r="B211" s="2271" t="s">
        <v>676</v>
      </c>
      <c r="C211" s="2888" t="s">
        <v>676</v>
      </c>
      <c r="D211" s="2889"/>
      <c r="E211" s="2889"/>
      <c r="F211" s="2890"/>
      <c r="G211" s="2888" t="s">
        <v>676</v>
      </c>
      <c r="H211" s="2890"/>
      <c r="I211" s="2888" t="s">
        <v>676</v>
      </c>
      <c r="J211" s="2890"/>
      <c r="K211" s="2271" t="s">
        <v>676</v>
      </c>
      <c r="L211" s="2271" t="s">
        <v>676</v>
      </c>
      <c r="M211" s="2271" t="s">
        <v>676</v>
      </c>
      <c r="N211" s="2272" t="s">
        <v>676</v>
      </c>
      <c r="O211" s="2270" t="s">
        <v>2769</v>
      </c>
      <c r="P211" s="2270">
        <v>0</v>
      </c>
      <c r="Q211" s="2271" t="s">
        <v>676</v>
      </c>
      <c r="R211" s="2271" t="s">
        <v>676</v>
      </c>
      <c r="S211" s="2271" t="s">
        <v>676</v>
      </c>
      <c r="T211" s="2271" t="s">
        <v>676</v>
      </c>
    </row>
    <row r="212" spans="1:20" ht="15">
      <c r="A212" s="2265"/>
      <c r="B212" s="2271" t="s">
        <v>676</v>
      </c>
      <c r="C212" s="2891" t="s">
        <v>676</v>
      </c>
      <c r="D212" s="2889"/>
      <c r="E212" s="2889"/>
      <c r="F212" s="2890"/>
      <c r="G212" s="2892" t="s">
        <v>676</v>
      </c>
      <c r="H212" s="2889"/>
      <c r="I212" s="2888" t="s">
        <v>676</v>
      </c>
      <c r="J212" s="2890"/>
      <c r="K212" s="2271" t="s">
        <v>676</v>
      </c>
      <c r="L212" s="2271" t="s">
        <v>676</v>
      </c>
      <c r="M212" s="2271" t="s">
        <v>676</v>
      </c>
      <c r="N212" s="2272" t="s">
        <v>676</v>
      </c>
      <c r="O212" s="2270" t="s">
        <v>2770</v>
      </c>
      <c r="P212" s="2270">
        <v>0</v>
      </c>
      <c r="Q212" s="2271" t="s">
        <v>676</v>
      </c>
      <c r="R212" s="2271" t="s">
        <v>676</v>
      </c>
      <c r="S212" s="2271" t="s">
        <v>676</v>
      </c>
      <c r="T212" s="2271" t="s">
        <v>676</v>
      </c>
    </row>
    <row r="213" spans="1:20" ht="135">
      <c r="A213" s="2265"/>
      <c r="B213" s="2268">
        <v>12</v>
      </c>
      <c r="C213" s="2882" t="s">
        <v>1518</v>
      </c>
      <c r="D213" s="2883"/>
      <c r="E213" s="2883"/>
      <c r="F213" s="2884"/>
      <c r="G213" s="2882" t="s">
        <v>2805</v>
      </c>
      <c r="H213" s="2884"/>
      <c r="I213" s="2882" t="s">
        <v>2762</v>
      </c>
      <c r="J213" s="2884"/>
      <c r="K213" s="2268" t="s">
        <v>2763</v>
      </c>
      <c r="L213" s="2268" t="s">
        <v>2775</v>
      </c>
      <c r="M213" s="2268" t="s">
        <v>2765</v>
      </c>
      <c r="N213" s="2269">
        <v>100000</v>
      </c>
      <c r="O213" s="2270" t="s">
        <v>2766</v>
      </c>
      <c r="P213" s="2270">
        <v>100000</v>
      </c>
      <c r="Q213" s="2268"/>
      <c r="R213" s="2268" t="s">
        <v>2767</v>
      </c>
      <c r="S213" s="2268" t="s">
        <v>2768</v>
      </c>
      <c r="T213" s="2268"/>
    </row>
    <row r="214" spans="1:20" ht="15">
      <c r="A214" s="2265"/>
      <c r="B214" s="2271" t="s">
        <v>676</v>
      </c>
      <c r="C214" s="2888" t="s">
        <v>676</v>
      </c>
      <c r="D214" s="2889"/>
      <c r="E214" s="2889"/>
      <c r="F214" s="2890"/>
      <c r="G214" s="2888" t="s">
        <v>676</v>
      </c>
      <c r="H214" s="2890"/>
      <c r="I214" s="2888" t="s">
        <v>676</v>
      </c>
      <c r="J214" s="2890"/>
      <c r="K214" s="2271" t="s">
        <v>676</v>
      </c>
      <c r="L214" s="2271" t="s">
        <v>676</v>
      </c>
      <c r="M214" s="2271" t="s">
        <v>676</v>
      </c>
      <c r="N214" s="2272" t="s">
        <v>676</v>
      </c>
      <c r="O214" s="2270" t="s">
        <v>2769</v>
      </c>
      <c r="P214" s="2270">
        <v>0</v>
      </c>
      <c r="Q214" s="2271" t="s">
        <v>676</v>
      </c>
      <c r="R214" s="2271" t="s">
        <v>676</v>
      </c>
      <c r="S214" s="2271" t="s">
        <v>676</v>
      </c>
      <c r="T214" s="2271" t="s">
        <v>676</v>
      </c>
    </row>
    <row r="215" spans="1:20" ht="15">
      <c r="A215" s="2265"/>
      <c r="B215" s="2271" t="s">
        <v>676</v>
      </c>
      <c r="C215" s="2891" t="s">
        <v>676</v>
      </c>
      <c r="D215" s="2889"/>
      <c r="E215" s="2889"/>
      <c r="F215" s="2890"/>
      <c r="G215" s="2892" t="s">
        <v>676</v>
      </c>
      <c r="H215" s="2889"/>
      <c r="I215" s="2888" t="s">
        <v>676</v>
      </c>
      <c r="J215" s="2890"/>
      <c r="K215" s="2271" t="s">
        <v>676</v>
      </c>
      <c r="L215" s="2271" t="s">
        <v>676</v>
      </c>
      <c r="M215" s="2271" t="s">
        <v>676</v>
      </c>
      <c r="N215" s="2272" t="s">
        <v>676</v>
      </c>
      <c r="O215" s="2270" t="s">
        <v>2770</v>
      </c>
      <c r="P215" s="2270">
        <v>0</v>
      </c>
      <c r="Q215" s="2271" t="s">
        <v>676</v>
      </c>
      <c r="R215" s="2271" t="s">
        <v>676</v>
      </c>
      <c r="S215" s="2271" t="s">
        <v>676</v>
      </c>
      <c r="T215" s="2271" t="s">
        <v>676</v>
      </c>
    </row>
    <row r="216" spans="1:20" ht="135">
      <c r="A216" s="2265"/>
      <c r="B216" s="2268">
        <v>13</v>
      </c>
      <c r="C216" s="2882" t="s">
        <v>2806</v>
      </c>
      <c r="D216" s="2883"/>
      <c r="E216" s="2883"/>
      <c r="F216" s="2884"/>
      <c r="G216" s="2882" t="s">
        <v>675</v>
      </c>
      <c r="H216" s="2884"/>
      <c r="I216" s="2882" t="s">
        <v>2762</v>
      </c>
      <c r="J216" s="2884"/>
      <c r="K216" s="2268" t="s">
        <v>2763</v>
      </c>
      <c r="L216" s="2268" t="s">
        <v>2775</v>
      </c>
      <c r="M216" s="2268" t="s">
        <v>2765</v>
      </c>
      <c r="N216" s="2269">
        <v>100000</v>
      </c>
      <c r="O216" s="2270" t="s">
        <v>2766</v>
      </c>
      <c r="P216" s="2270">
        <v>100000</v>
      </c>
      <c r="Q216" s="2268"/>
      <c r="R216" s="2268" t="s">
        <v>2767</v>
      </c>
      <c r="S216" s="2268" t="s">
        <v>2768</v>
      </c>
      <c r="T216" s="2268"/>
    </row>
    <row r="217" spans="1:20" ht="15">
      <c r="A217" s="2265"/>
      <c r="B217" s="2271" t="s">
        <v>676</v>
      </c>
      <c r="C217" s="2888" t="s">
        <v>676</v>
      </c>
      <c r="D217" s="2889"/>
      <c r="E217" s="2889"/>
      <c r="F217" s="2890"/>
      <c r="G217" s="2888" t="s">
        <v>676</v>
      </c>
      <c r="H217" s="2890"/>
      <c r="I217" s="2888" t="s">
        <v>676</v>
      </c>
      <c r="J217" s="2890"/>
      <c r="K217" s="2271" t="s">
        <v>676</v>
      </c>
      <c r="L217" s="2271" t="s">
        <v>676</v>
      </c>
      <c r="M217" s="2271" t="s">
        <v>676</v>
      </c>
      <c r="N217" s="2272" t="s">
        <v>676</v>
      </c>
      <c r="O217" s="2270" t="s">
        <v>2769</v>
      </c>
      <c r="P217" s="2270">
        <v>0</v>
      </c>
      <c r="Q217" s="2271" t="s">
        <v>676</v>
      </c>
      <c r="R217" s="2271" t="s">
        <v>676</v>
      </c>
      <c r="S217" s="2271" t="s">
        <v>676</v>
      </c>
      <c r="T217" s="2271" t="s">
        <v>676</v>
      </c>
    </row>
    <row r="218" spans="1:20" ht="15">
      <c r="A218" s="2265"/>
      <c r="B218" s="2271" t="s">
        <v>676</v>
      </c>
      <c r="C218" s="2891" t="s">
        <v>676</v>
      </c>
      <c r="D218" s="2889"/>
      <c r="E218" s="2889"/>
      <c r="F218" s="2890"/>
      <c r="G218" s="2892" t="s">
        <v>676</v>
      </c>
      <c r="H218" s="2889"/>
      <c r="I218" s="2888" t="s">
        <v>676</v>
      </c>
      <c r="J218" s="2890"/>
      <c r="K218" s="2271" t="s">
        <v>676</v>
      </c>
      <c r="L218" s="2271" t="s">
        <v>676</v>
      </c>
      <c r="M218" s="2271" t="s">
        <v>676</v>
      </c>
      <c r="N218" s="2272" t="s">
        <v>676</v>
      </c>
      <c r="O218" s="2270" t="s">
        <v>2770</v>
      </c>
      <c r="P218" s="2270">
        <v>0</v>
      </c>
      <c r="Q218" s="2271" t="s">
        <v>676</v>
      </c>
      <c r="R218" s="2271" t="s">
        <v>676</v>
      </c>
      <c r="S218" s="2271" t="s">
        <v>676</v>
      </c>
      <c r="T218" s="2271" t="s">
        <v>676</v>
      </c>
    </row>
    <row r="219" spans="1:20" ht="135">
      <c r="A219" s="2265"/>
      <c r="B219" s="2268">
        <v>14</v>
      </c>
      <c r="C219" s="2882" t="s">
        <v>2807</v>
      </c>
      <c r="D219" s="2883"/>
      <c r="E219" s="2883"/>
      <c r="F219" s="2884"/>
      <c r="G219" s="2882" t="s">
        <v>2808</v>
      </c>
      <c r="H219" s="2884"/>
      <c r="I219" s="2882" t="s">
        <v>2762</v>
      </c>
      <c r="J219" s="2884"/>
      <c r="K219" s="2268" t="s">
        <v>2763</v>
      </c>
      <c r="L219" s="2268" t="s">
        <v>2775</v>
      </c>
      <c r="M219" s="2268" t="s">
        <v>2765</v>
      </c>
      <c r="N219" s="2269">
        <v>100000</v>
      </c>
      <c r="O219" s="2270" t="s">
        <v>2766</v>
      </c>
      <c r="P219" s="2270">
        <v>100000</v>
      </c>
      <c r="Q219" s="2268"/>
      <c r="R219" s="2268" t="s">
        <v>2767</v>
      </c>
      <c r="S219" s="2268" t="s">
        <v>2768</v>
      </c>
      <c r="T219" s="2268"/>
    </row>
    <row r="220" spans="1:20" ht="15">
      <c r="A220" s="2265"/>
      <c r="B220" s="2271" t="s">
        <v>676</v>
      </c>
      <c r="C220" s="2888" t="s">
        <v>676</v>
      </c>
      <c r="D220" s="2889"/>
      <c r="E220" s="2889"/>
      <c r="F220" s="2890"/>
      <c r="G220" s="2888" t="s">
        <v>676</v>
      </c>
      <c r="H220" s="2890"/>
      <c r="I220" s="2888" t="s">
        <v>676</v>
      </c>
      <c r="J220" s="2890"/>
      <c r="K220" s="2271" t="s">
        <v>676</v>
      </c>
      <c r="L220" s="2271" t="s">
        <v>676</v>
      </c>
      <c r="M220" s="2271" t="s">
        <v>676</v>
      </c>
      <c r="N220" s="2272" t="s">
        <v>676</v>
      </c>
      <c r="O220" s="2270" t="s">
        <v>2769</v>
      </c>
      <c r="P220" s="2270">
        <v>0</v>
      </c>
      <c r="Q220" s="2271" t="s">
        <v>676</v>
      </c>
      <c r="R220" s="2271" t="s">
        <v>676</v>
      </c>
      <c r="S220" s="2271" t="s">
        <v>676</v>
      </c>
      <c r="T220" s="2271" t="s">
        <v>676</v>
      </c>
    </row>
    <row r="221" spans="1:20" ht="15">
      <c r="A221" s="2265"/>
      <c r="B221" s="2271" t="s">
        <v>676</v>
      </c>
      <c r="C221" s="2891" t="s">
        <v>676</v>
      </c>
      <c r="D221" s="2889"/>
      <c r="E221" s="2889"/>
      <c r="F221" s="2890"/>
      <c r="G221" s="2892" t="s">
        <v>676</v>
      </c>
      <c r="H221" s="2889"/>
      <c r="I221" s="2888" t="s">
        <v>676</v>
      </c>
      <c r="J221" s="2890"/>
      <c r="K221" s="2271" t="s">
        <v>676</v>
      </c>
      <c r="L221" s="2271" t="s">
        <v>676</v>
      </c>
      <c r="M221" s="2271" t="s">
        <v>676</v>
      </c>
      <c r="N221" s="2272" t="s">
        <v>676</v>
      </c>
      <c r="O221" s="2270" t="s">
        <v>2770</v>
      </c>
      <c r="P221" s="2270">
        <v>0</v>
      </c>
      <c r="Q221" s="2271" t="s">
        <v>676</v>
      </c>
      <c r="R221" s="2271" t="s">
        <v>676</v>
      </c>
      <c r="S221" s="2271" t="s">
        <v>676</v>
      </c>
      <c r="T221" s="2271" t="s">
        <v>676</v>
      </c>
    </row>
    <row r="222" spans="1:20" ht="135">
      <c r="A222" s="2265"/>
      <c r="B222" s="2268">
        <v>15</v>
      </c>
      <c r="C222" s="2882" t="s">
        <v>824</v>
      </c>
      <c r="D222" s="2883"/>
      <c r="E222" s="2883"/>
      <c r="F222" s="2884"/>
      <c r="G222" s="2882" t="s">
        <v>825</v>
      </c>
      <c r="H222" s="2884"/>
      <c r="I222" s="2882" t="s">
        <v>2762</v>
      </c>
      <c r="J222" s="2884"/>
      <c r="K222" s="2268" t="s">
        <v>2763</v>
      </c>
      <c r="L222" s="2268" t="s">
        <v>2775</v>
      </c>
      <c r="M222" s="2268" t="s">
        <v>2765</v>
      </c>
      <c r="N222" s="2269">
        <v>100000</v>
      </c>
      <c r="O222" s="2270" t="s">
        <v>2766</v>
      </c>
      <c r="P222" s="2270">
        <v>100000</v>
      </c>
      <c r="Q222" s="2268"/>
      <c r="R222" s="2268" t="s">
        <v>2767</v>
      </c>
      <c r="S222" s="2268" t="s">
        <v>2768</v>
      </c>
      <c r="T222" s="2268"/>
    </row>
    <row r="223" spans="1:20" ht="15">
      <c r="A223" s="2265"/>
      <c r="B223" s="2271" t="s">
        <v>676</v>
      </c>
      <c r="C223" s="2888" t="s">
        <v>676</v>
      </c>
      <c r="D223" s="2889"/>
      <c r="E223" s="2889"/>
      <c r="F223" s="2890"/>
      <c r="G223" s="2888" t="s">
        <v>676</v>
      </c>
      <c r="H223" s="2890"/>
      <c r="I223" s="2888" t="s">
        <v>676</v>
      </c>
      <c r="J223" s="2890"/>
      <c r="K223" s="2271" t="s">
        <v>676</v>
      </c>
      <c r="L223" s="2271" t="s">
        <v>676</v>
      </c>
      <c r="M223" s="2271" t="s">
        <v>676</v>
      </c>
      <c r="N223" s="2272" t="s">
        <v>676</v>
      </c>
      <c r="O223" s="2270" t="s">
        <v>2769</v>
      </c>
      <c r="P223" s="2270">
        <v>0</v>
      </c>
      <c r="Q223" s="2271" t="s">
        <v>676</v>
      </c>
      <c r="R223" s="2271" t="s">
        <v>676</v>
      </c>
      <c r="S223" s="2271" t="s">
        <v>676</v>
      </c>
      <c r="T223" s="2271" t="s">
        <v>676</v>
      </c>
    </row>
    <row r="224" spans="1:20" ht="15">
      <c r="A224" s="2265"/>
      <c r="B224" s="2271" t="s">
        <v>676</v>
      </c>
      <c r="C224" s="2891" t="s">
        <v>676</v>
      </c>
      <c r="D224" s="2889"/>
      <c r="E224" s="2889"/>
      <c r="F224" s="2890"/>
      <c r="G224" s="2892" t="s">
        <v>676</v>
      </c>
      <c r="H224" s="2889"/>
      <c r="I224" s="2888" t="s">
        <v>676</v>
      </c>
      <c r="J224" s="2890"/>
      <c r="K224" s="2271" t="s">
        <v>676</v>
      </c>
      <c r="L224" s="2271" t="s">
        <v>676</v>
      </c>
      <c r="M224" s="2271" t="s">
        <v>676</v>
      </c>
      <c r="N224" s="2272" t="s">
        <v>676</v>
      </c>
      <c r="O224" s="2270" t="s">
        <v>2770</v>
      </c>
      <c r="P224" s="2270">
        <v>0</v>
      </c>
      <c r="Q224" s="2271" t="s">
        <v>676</v>
      </c>
      <c r="R224" s="2271" t="s">
        <v>676</v>
      </c>
      <c r="S224" s="2271" t="s">
        <v>676</v>
      </c>
      <c r="T224" s="2271" t="s">
        <v>676</v>
      </c>
    </row>
    <row r="225" spans="1:20" ht="135">
      <c r="A225" s="2265"/>
      <c r="B225" s="2268">
        <v>16</v>
      </c>
      <c r="C225" s="2882" t="s">
        <v>2809</v>
      </c>
      <c r="D225" s="2883"/>
      <c r="E225" s="2883"/>
      <c r="F225" s="2884"/>
      <c r="G225" s="2882" t="s">
        <v>2810</v>
      </c>
      <c r="H225" s="2884"/>
      <c r="I225" s="2882" t="s">
        <v>2762</v>
      </c>
      <c r="J225" s="2884"/>
      <c r="K225" s="2268" t="s">
        <v>2763</v>
      </c>
      <c r="L225" s="2268" t="s">
        <v>2764</v>
      </c>
      <c r="M225" s="2268" t="s">
        <v>2765</v>
      </c>
      <c r="N225" s="2269">
        <v>100000</v>
      </c>
      <c r="O225" s="2270" t="s">
        <v>2766</v>
      </c>
      <c r="P225" s="2270">
        <v>100000</v>
      </c>
      <c r="Q225" s="2268"/>
      <c r="R225" s="2268" t="s">
        <v>2767</v>
      </c>
      <c r="S225" s="2268" t="s">
        <v>2768</v>
      </c>
      <c r="T225" s="2268"/>
    </row>
    <row r="226" spans="1:20" ht="15">
      <c r="A226" s="2265"/>
      <c r="B226" s="2271" t="s">
        <v>676</v>
      </c>
      <c r="C226" s="2888" t="s">
        <v>676</v>
      </c>
      <c r="D226" s="2889"/>
      <c r="E226" s="2889"/>
      <c r="F226" s="2890"/>
      <c r="G226" s="2888" t="s">
        <v>676</v>
      </c>
      <c r="H226" s="2890"/>
      <c r="I226" s="2888" t="s">
        <v>676</v>
      </c>
      <c r="J226" s="2890"/>
      <c r="K226" s="2271" t="s">
        <v>676</v>
      </c>
      <c r="L226" s="2271" t="s">
        <v>676</v>
      </c>
      <c r="M226" s="2271" t="s">
        <v>676</v>
      </c>
      <c r="N226" s="2272" t="s">
        <v>676</v>
      </c>
      <c r="O226" s="2270" t="s">
        <v>2769</v>
      </c>
      <c r="P226" s="2270">
        <v>0</v>
      </c>
      <c r="Q226" s="2271" t="s">
        <v>676</v>
      </c>
      <c r="R226" s="2271" t="s">
        <v>676</v>
      </c>
      <c r="S226" s="2271" t="s">
        <v>676</v>
      </c>
      <c r="T226" s="2271" t="s">
        <v>676</v>
      </c>
    </row>
    <row r="227" spans="1:20" ht="15">
      <c r="A227" s="2265"/>
      <c r="B227" s="2271" t="s">
        <v>676</v>
      </c>
      <c r="C227" s="2891" t="s">
        <v>676</v>
      </c>
      <c r="D227" s="2889"/>
      <c r="E227" s="2889"/>
      <c r="F227" s="2890"/>
      <c r="G227" s="2892" t="s">
        <v>676</v>
      </c>
      <c r="H227" s="2889"/>
      <c r="I227" s="2888" t="s">
        <v>676</v>
      </c>
      <c r="J227" s="2890"/>
      <c r="K227" s="2271" t="s">
        <v>676</v>
      </c>
      <c r="L227" s="2271" t="s">
        <v>676</v>
      </c>
      <c r="M227" s="2271" t="s">
        <v>676</v>
      </c>
      <c r="N227" s="2272" t="s">
        <v>676</v>
      </c>
      <c r="O227" s="2270" t="s">
        <v>2770</v>
      </c>
      <c r="P227" s="2270">
        <v>0</v>
      </c>
      <c r="Q227" s="2271" t="s">
        <v>676</v>
      </c>
      <c r="R227" s="2271" t="s">
        <v>676</v>
      </c>
      <c r="S227" s="2271" t="s">
        <v>676</v>
      </c>
      <c r="T227" s="2271" t="s">
        <v>676</v>
      </c>
    </row>
    <row r="228" spans="1:20" ht="135">
      <c r="A228" s="2265"/>
      <c r="B228" s="2268">
        <v>17</v>
      </c>
      <c r="C228" s="2882" t="s">
        <v>2811</v>
      </c>
      <c r="D228" s="2883"/>
      <c r="E228" s="2883"/>
      <c r="F228" s="2884"/>
      <c r="G228" s="2882" t="s">
        <v>1167</v>
      </c>
      <c r="H228" s="2884"/>
      <c r="I228" s="2882" t="s">
        <v>2762</v>
      </c>
      <c r="J228" s="2884"/>
      <c r="K228" s="2268" t="s">
        <v>2763</v>
      </c>
      <c r="L228" s="2268" t="s">
        <v>2764</v>
      </c>
      <c r="M228" s="2268" t="s">
        <v>2765</v>
      </c>
      <c r="N228" s="2269">
        <v>100000</v>
      </c>
      <c r="O228" s="2270" t="s">
        <v>2766</v>
      </c>
      <c r="P228" s="2270">
        <v>100000</v>
      </c>
      <c r="Q228" s="2268"/>
      <c r="R228" s="2268" t="s">
        <v>2767</v>
      </c>
      <c r="S228" s="2268" t="s">
        <v>2768</v>
      </c>
      <c r="T228" s="2268"/>
    </row>
    <row r="229" spans="1:20" ht="15">
      <c r="A229" s="2265"/>
      <c r="B229" s="2271" t="s">
        <v>676</v>
      </c>
      <c r="C229" s="2888" t="s">
        <v>676</v>
      </c>
      <c r="D229" s="2889"/>
      <c r="E229" s="2889"/>
      <c r="F229" s="2890"/>
      <c r="G229" s="2888" t="s">
        <v>676</v>
      </c>
      <c r="H229" s="2890"/>
      <c r="I229" s="2888" t="s">
        <v>676</v>
      </c>
      <c r="J229" s="2890"/>
      <c r="K229" s="2271" t="s">
        <v>676</v>
      </c>
      <c r="L229" s="2271" t="s">
        <v>676</v>
      </c>
      <c r="M229" s="2271" t="s">
        <v>676</v>
      </c>
      <c r="N229" s="2272" t="s">
        <v>676</v>
      </c>
      <c r="O229" s="2270" t="s">
        <v>2769</v>
      </c>
      <c r="P229" s="2270">
        <v>0</v>
      </c>
      <c r="Q229" s="2271" t="s">
        <v>676</v>
      </c>
      <c r="R229" s="2271" t="s">
        <v>676</v>
      </c>
      <c r="S229" s="2271" t="s">
        <v>676</v>
      </c>
      <c r="T229" s="2271" t="s">
        <v>676</v>
      </c>
    </row>
    <row r="230" spans="1:20" ht="15">
      <c r="A230" s="2265"/>
      <c r="B230" s="2271" t="s">
        <v>676</v>
      </c>
      <c r="C230" s="2891" t="s">
        <v>676</v>
      </c>
      <c r="D230" s="2889"/>
      <c r="E230" s="2889"/>
      <c r="F230" s="2890"/>
      <c r="G230" s="2892" t="s">
        <v>676</v>
      </c>
      <c r="H230" s="2889"/>
      <c r="I230" s="2888" t="s">
        <v>676</v>
      </c>
      <c r="J230" s="2890"/>
      <c r="K230" s="2271" t="s">
        <v>676</v>
      </c>
      <c r="L230" s="2271" t="s">
        <v>676</v>
      </c>
      <c r="M230" s="2271" t="s">
        <v>676</v>
      </c>
      <c r="N230" s="2272" t="s">
        <v>676</v>
      </c>
      <c r="O230" s="2270" t="s">
        <v>2770</v>
      </c>
      <c r="P230" s="2270">
        <v>0</v>
      </c>
      <c r="Q230" s="2271" t="s">
        <v>676</v>
      </c>
      <c r="R230" s="2271" t="s">
        <v>676</v>
      </c>
      <c r="S230" s="2271" t="s">
        <v>676</v>
      </c>
      <c r="T230" s="2271" t="s">
        <v>676</v>
      </c>
    </row>
    <row r="231" spans="1:20" ht="135">
      <c r="A231" s="2265"/>
      <c r="B231" s="2268">
        <v>18</v>
      </c>
      <c r="C231" s="2882" t="s">
        <v>2812</v>
      </c>
      <c r="D231" s="2883"/>
      <c r="E231" s="2883"/>
      <c r="F231" s="2884"/>
      <c r="G231" s="2882" t="s">
        <v>1162</v>
      </c>
      <c r="H231" s="2884"/>
      <c r="I231" s="2882" t="s">
        <v>2762</v>
      </c>
      <c r="J231" s="2884"/>
      <c r="K231" s="2268" t="s">
        <v>2763</v>
      </c>
      <c r="L231" s="2268" t="s">
        <v>2764</v>
      </c>
      <c r="M231" s="2268" t="s">
        <v>2765</v>
      </c>
      <c r="N231" s="2269">
        <v>100000</v>
      </c>
      <c r="O231" s="2270" t="s">
        <v>2766</v>
      </c>
      <c r="P231" s="2270">
        <v>100000</v>
      </c>
      <c r="Q231" s="2268"/>
      <c r="R231" s="2268" t="s">
        <v>2767</v>
      </c>
      <c r="S231" s="2268" t="s">
        <v>2768</v>
      </c>
      <c r="T231" s="2268"/>
    </row>
    <row r="232" spans="1:20" ht="15">
      <c r="A232" s="2265"/>
      <c r="B232" s="2271" t="s">
        <v>676</v>
      </c>
      <c r="C232" s="2888" t="s">
        <v>676</v>
      </c>
      <c r="D232" s="2889"/>
      <c r="E232" s="2889"/>
      <c r="F232" s="2890"/>
      <c r="G232" s="2888" t="s">
        <v>676</v>
      </c>
      <c r="H232" s="2890"/>
      <c r="I232" s="2888" t="s">
        <v>676</v>
      </c>
      <c r="J232" s="2890"/>
      <c r="K232" s="2271" t="s">
        <v>676</v>
      </c>
      <c r="L232" s="2271" t="s">
        <v>676</v>
      </c>
      <c r="M232" s="2271" t="s">
        <v>676</v>
      </c>
      <c r="N232" s="2272" t="s">
        <v>676</v>
      </c>
      <c r="O232" s="2270" t="s">
        <v>2769</v>
      </c>
      <c r="P232" s="2270">
        <v>0</v>
      </c>
      <c r="Q232" s="2271" t="s">
        <v>676</v>
      </c>
      <c r="R232" s="2271" t="s">
        <v>676</v>
      </c>
      <c r="S232" s="2271" t="s">
        <v>676</v>
      </c>
      <c r="T232" s="2271" t="s">
        <v>676</v>
      </c>
    </row>
    <row r="233" spans="1:20" ht="15">
      <c r="A233" s="2265"/>
      <c r="B233" s="2273" t="s">
        <v>676</v>
      </c>
      <c r="C233" s="2896" t="s">
        <v>676</v>
      </c>
      <c r="D233" s="2942"/>
      <c r="E233" s="2942"/>
      <c r="F233" s="2943"/>
      <c r="G233" s="2899" t="s">
        <v>676</v>
      </c>
      <c r="H233" s="2942"/>
      <c r="I233" s="2900" t="s">
        <v>676</v>
      </c>
      <c r="J233" s="2943"/>
      <c r="K233" s="2273" t="s">
        <v>676</v>
      </c>
      <c r="L233" s="2273" t="s">
        <v>676</v>
      </c>
      <c r="M233" s="2273" t="s">
        <v>676</v>
      </c>
      <c r="N233" s="2274" t="s">
        <v>676</v>
      </c>
      <c r="O233" s="2270" t="s">
        <v>2770</v>
      </c>
      <c r="P233" s="2270">
        <v>0</v>
      </c>
      <c r="Q233" s="2273" t="s">
        <v>676</v>
      </c>
      <c r="R233" s="2273" t="s">
        <v>676</v>
      </c>
      <c r="S233" s="2273" t="s">
        <v>676</v>
      </c>
      <c r="T233" s="2273" t="s">
        <v>676</v>
      </c>
    </row>
    <row r="234" spans="1:20" ht="30">
      <c r="A234" s="2286"/>
      <c r="B234" s="2287" t="s">
        <v>82</v>
      </c>
      <c r="C234" s="2288"/>
      <c r="D234" s="2289"/>
      <c r="E234" s="2289"/>
      <c r="F234" s="2289"/>
      <c r="G234" s="2289"/>
      <c r="H234" s="2289"/>
      <c r="I234" s="2289"/>
      <c r="J234" s="2289"/>
      <c r="K234" s="2289"/>
      <c r="L234" s="2289"/>
      <c r="M234" s="2289"/>
      <c r="N234" s="2289">
        <f>SUM(N180:N233)</f>
        <v>11080000</v>
      </c>
      <c r="O234" s="2290"/>
      <c r="P234" s="2290">
        <f>SUM(P180:P233)</f>
        <v>11080000</v>
      </c>
      <c r="Q234" s="2290"/>
      <c r="R234" s="2290"/>
      <c r="S234" s="2290"/>
      <c r="T234" s="2291"/>
    </row>
    <row r="235" spans="1:20" ht="20.25">
      <c r="A235" s="2280"/>
      <c r="B235" s="2281"/>
      <c r="C235" s="2280"/>
      <c r="D235" s="2280"/>
      <c r="E235" s="2281"/>
      <c r="F235" s="2280"/>
      <c r="G235" s="2280"/>
      <c r="H235" s="2280"/>
      <c r="I235" s="2280"/>
      <c r="J235" s="2282"/>
      <c r="K235" s="2282"/>
      <c r="L235" s="2282"/>
      <c r="M235" s="2283"/>
      <c r="N235" s="2282"/>
      <c r="O235" s="2284" t="s">
        <v>2789</v>
      </c>
      <c r="P235" s="2282"/>
      <c r="Q235" s="2282"/>
      <c r="R235" s="2282"/>
      <c r="S235" s="2282"/>
      <c r="T235" s="2282"/>
    </row>
    <row r="236" spans="1:20" ht="20.25">
      <c r="A236" s="2282"/>
      <c r="B236" s="2282"/>
      <c r="C236" s="2282"/>
      <c r="D236" s="2282"/>
      <c r="E236" s="2282"/>
      <c r="F236" s="2282"/>
      <c r="G236" s="2282"/>
      <c r="H236" s="2282"/>
      <c r="I236" s="2282"/>
      <c r="J236" s="2282"/>
      <c r="K236" s="2282"/>
      <c r="L236" s="2282"/>
      <c r="M236" s="2283"/>
      <c r="N236" s="2282"/>
      <c r="O236" s="2284" t="s">
        <v>2790</v>
      </c>
      <c r="P236" s="2282"/>
      <c r="Q236" s="2282"/>
      <c r="R236" s="2282"/>
      <c r="S236" s="2282"/>
      <c r="T236" s="2282"/>
    </row>
    <row r="237" spans="1:20" ht="23.25">
      <c r="A237" s="2985" t="s">
        <v>2749</v>
      </c>
      <c r="B237" s="2987"/>
      <c r="C237" s="2987"/>
      <c r="D237" s="2987"/>
      <c r="E237" s="2987"/>
      <c r="F237" s="2987"/>
      <c r="G237" s="2987"/>
      <c r="H237" s="2261"/>
      <c r="I237" s="2261"/>
      <c r="J237" s="2261"/>
      <c r="K237" s="2261"/>
      <c r="L237" s="2261"/>
      <c r="M237" s="2262"/>
      <c r="N237" s="2263"/>
      <c r="O237" s="2263"/>
      <c r="P237" s="2263"/>
      <c r="Q237" s="2261"/>
      <c r="R237" s="2261"/>
      <c r="S237" s="2261"/>
      <c r="T237" s="2261"/>
    </row>
    <row r="238" spans="1:20" ht="15">
      <c r="A238" s="2261"/>
      <c r="B238" s="2261"/>
      <c r="C238" s="2261"/>
      <c r="D238" s="2261"/>
      <c r="E238" s="2261"/>
      <c r="F238" s="2261"/>
      <c r="G238" s="2261"/>
      <c r="H238" s="2261"/>
      <c r="I238" s="2261"/>
      <c r="J238" s="2261"/>
      <c r="K238" s="2261"/>
      <c r="L238" s="2261"/>
      <c r="M238" s="2262"/>
      <c r="N238" s="2263"/>
      <c r="O238" s="2263"/>
      <c r="P238" s="2263"/>
      <c r="Q238" s="2261"/>
      <c r="R238" s="2261"/>
      <c r="S238" s="2261"/>
      <c r="T238" s="2261"/>
    </row>
    <row r="239" spans="1:20" ht="15">
      <c r="A239" s="2960" t="s">
        <v>653</v>
      </c>
      <c r="B239" s="2988"/>
      <c r="C239" s="2988"/>
      <c r="D239" s="2261"/>
      <c r="E239" s="2264">
        <v>2020</v>
      </c>
      <c r="F239" s="2261"/>
      <c r="G239" s="2261"/>
      <c r="H239" s="2261"/>
      <c r="I239" s="2261"/>
      <c r="J239" s="2261"/>
      <c r="K239" s="2261"/>
      <c r="L239" s="2261"/>
      <c r="M239" s="2262"/>
      <c r="N239" s="2263"/>
      <c r="O239" s="2263"/>
      <c r="P239" s="2263"/>
      <c r="Q239" s="2261"/>
      <c r="R239" s="2261"/>
      <c r="S239" s="2261"/>
      <c r="T239" s="2261"/>
    </row>
    <row r="240" spans="1:20" ht="15">
      <c r="A240" s="2261"/>
      <c r="B240" s="2261"/>
      <c r="C240" s="2261"/>
      <c r="D240" s="2261"/>
      <c r="E240" s="2261"/>
      <c r="F240" s="2261"/>
      <c r="G240" s="2261"/>
      <c r="H240" s="2261"/>
      <c r="I240" s="2261"/>
      <c r="J240" s="2261"/>
      <c r="K240" s="2261"/>
      <c r="L240" s="2261"/>
      <c r="M240" s="2262"/>
      <c r="N240" s="2263"/>
      <c r="O240" s="2263"/>
      <c r="P240" s="2263"/>
      <c r="Q240" s="2261"/>
      <c r="R240" s="2261"/>
      <c r="S240" s="2261"/>
      <c r="T240" s="2261"/>
    </row>
    <row r="241" spans="1:20" ht="15">
      <c r="A241" s="2960" t="s">
        <v>655</v>
      </c>
      <c r="B241" s="2988"/>
      <c r="C241" s="2988"/>
      <c r="D241" s="2261"/>
      <c r="E241" s="2961" t="s">
        <v>900</v>
      </c>
      <c r="F241" s="2988"/>
      <c r="G241" s="2988"/>
      <c r="H241" s="2988"/>
      <c r="I241" s="2988"/>
      <c r="J241" s="2261"/>
      <c r="K241" s="2261"/>
      <c r="L241" s="2261"/>
      <c r="M241" s="2262"/>
      <c r="N241" s="2263"/>
      <c r="O241" s="2263"/>
      <c r="P241" s="2263"/>
      <c r="Q241" s="2261"/>
      <c r="R241" s="2261"/>
      <c r="S241" s="2261"/>
      <c r="T241" s="2261"/>
    </row>
    <row r="242" spans="1:20" ht="15">
      <c r="A242" s="2261"/>
      <c r="B242" s="2261"/>
      <c r="C242" s="2261"/>
      <c r="D242" s="2261"/>
      <c r="E242" s="2261"/>
      <c r="F242" s="2261"/>
      <c r="G242" s="2261"/>
      <c r="H242" s="2261"/>
      <c r="I242" s="2261"/>
      <c r="J242" s="2261"/>
      <c r="K242" s="2261"/>
      <c r="L242" s="2261"/>
      <c r="M242" s="2262"/>
      <c r="N242" s="2263"/>
      <c r="O242" s="2263"/>
      <c r="P242" s="2263"/>
      <c r="Q242" s="2261"/>
      <c r="R242" s="2261"/>
      <c r="S242" s="2261"/>
      <c r="T242" s="2261"/>
    </row>
    <row r="243" spans="1:20" ht="126">
      <c r="A243" s="2292"/>
      <c r="B243" s="2266" t="s">
        <v>657</v>
      </c>
      <c r="C243" s="2893" t="s">
        <v>587</v>
      </c>
      <c r="D243" s="2909"/>
      <c r="E243" s="2909"/>
      <c r="F243" s="2910"/>
      <c r="G243" s="2893" t="s">
        <v>2751</v>
      </c>
      <c r="H243" s="2910"/>
      <c r="I243" s="2893" t="s">
        <v>2752</v>
      </c>
      <c r="J243" s="2910"/>
      <c r="K243" s="2266" t="s">
        <v>2753</v>
      </c>
      <c r="L243" s="2266" t="s">
        <v>2754</v>
      </c>
      <c r="M243" s="2266" t="s">
        <v>2755</v>
      </c>
      <c r="N243" s="2267" t="s">
        <v>2756</v>
      </c>
      <c r="O243" s="2267" t="s">
        <v>2757</v>
      </c>
      <c r="P243" s="2267" t="s">
        <v>2758</v>
      </c>
      <c r="Q243" s="2266" t="s">
        <v>623</v>
      </c>
      <c r="R243" s="2266" t="s">
        <v>2759</v>
      </c>
      <c r="S243" s="2266" t="s">
        <v>2760</v>
      </c>
      <c r="T243" s="2266" t="s">
        <v>2761</v>
      </c>
    </row>
    <row r="244" spans="1:20" ht="90">
      <c r="A244" s="2292"/>
      <c r="B244" s="2268">
        <v>1</v>
      </c>
      <c r="C244" s="2882" t="s">
        <v>939</v>
      </c>
      <c r="D244" s="2905"/>
      <c r="E244" s="2905"/>
      <c r="F244" s="2906"/>
      <c r="G244" s="2882" t="s">
        <v>796</v>
      </c>
      <c r="H244" s="2906"/>
      <c r="I244" s="2882" t="s">
        <v>2762</v>
      </c>
      <c r="J244" s="2906"/>
      <c r="K244" s="2268" t="s">
        <v>2763</v>
      </c>
      <c r="L244" s="2268" t="s">
        <v>2775</v>
      </c>
      <c r="M244" s="2268" t="s">
        <v>2776</v>
      </c>
      <c r="N244" s="2269">
        <v>800000</v>
      </c>
      <c r="O244" s="2270" t="s">
        <v>2766</v>
      </c>
      <c r="P244" s="2270">
        <v>800000</v>
      </c>
      <c r="Q244" s="2268" t="s">
        <v>688</v>
      </c>
      <c r="R244" s="2268" t="s">
        <v>2767</v>
      </c>
      <c r="S244" s="2268" t="s">
        <v>2768</v>
      </c>
      <c r="T244" s="2268"/>
    </row>
    <row r="245" spans="1:20" ht="15.75">
      <c r="A245" s="2292"/>
      <c r="B245" s="2271" t="s">
        <v>676</v>
      </c>
      <c r="C245" s="2888" t="s">
        <v>676</v>
      </c>
      <c r="D245" s="2907"/>
      <c r="E245" s="2907"/>
      <c r="F245" s="2908"/>
      <c r="G245" s="2888" t="s">
        <v>676</v>
      </c>
      <c r="H245" s="2908"/>
      <c r="I245" s="2888" t="s">
        <v>676</v>
      </c>
      <c r="J245" s="2908"/>
      <c r="K245" s="2271" t="s">
        <v>676</v>
      </c>
      <c r="L245" s="2271" t="s">
        <v>676</v>
      </c>
      <c r="M245" s="2271" t="s">
        <v>676</v>
      </c>
      <c r="N245" s="2272" t="s">
        <v>676</v>
      </c>
      <c r="O245" s="2270" t="s">
        <v>2769</v>
      </c>
      <c r="P245" s="2270">
        <v>0</v>
      </c>
      <c r="Q245" s="2271" t="s">
        <v>676</v>
      </c>
      <c r="R245" s="2271" t="s">
        <v>676</v>
      </c>
      <c r="S245" s="2271" t="s">
        <v>676</v>
      </c>
      <c r="T245" s="2271" t="s">
        <v>676</v>
      </c>
    </row>
    <row r="246" spans="1:20" ht="15.75">
      <c r="A246" s="2292"/>
      <c r="B246" s="2271" t="s">
        <v>676</v>
      </c>
      <c r="C246" s="2891" t="s">
        <v>676</v>
      </c>
      <c r="D246" s="2907"/>
      <c r="E246" s="2907"/>
      <c r="F246" s="2908"/>
      <c r="G246" s="2892" t="s">
        <v>676</v>
      </c>
      <c r="H246" s="2907"/>
      <c r="I246" s="2888" t="s">
        <v>676</v>
      </c>
      <c r="J246" s="2908"/>
      <c r="K246" s="2271" t="s">
        <v>676</v>
      </c>
      <c r="L246" s="2271" t="s">
        <v>676</v>
      </c>
      <c r="M246" s="2271" t="s">
        <v>676</v>
      </c>
      <c r="N246" s="2272" t="s">
        <v>676</v>
      </c>
      <c r="O246" s="2270" t="s">
        <v>2770</v>
      </c>
      <c r="P246" s="2270">
        <v>0</v>
      </c>
      <c r="Q246" s="2271" t="s">
        <v>676</v>
      </c>
      <c r="R246" s="2271" t="s">
        <v>676</v>
      </c>
      <c r="S246" s="2271" t="s">
        <v>676</v>
      </c>
      <c r="T246" s="2271" t="s">
        <v>676</v>
      </c>
    </row>
    <row r="247" spans="1:20" ht="90">
      <c r="A247" s="2292"/>
      <c r="B247" s="2268">
        <v>2</v>
      </c>
      <c r="C247" s="2882" t="s">
        <v>2813</v>
      </c>
      <c r="D247" s="2905"/>
      <c r="E247" s="2905"/>
      <c r="F247" s="2906"/>
      <c r="G247" s="2882" t="s">
        <v>2814</v>
      </c>
      <c r="H247" s="2906"/>
      <c r="I247" s="2882" t="s">
        <v>2762</v>
      </c>
      <c r="J247" s="2906"/>
      <c r="K247" s="2268" t="s">
        <v>2763</v>
      </c>
      <c r="L247" s="2268" t="s">
        <v>2775</v>
      </c>
      <c r="M247" s="2268" t="s">
        <v>2776</v>
      </c>
      <c r="N247" s="2269">
        <v>200000</v>
      </c>
      <c r="O247" s="2270" t="s">
        <v>2766</v>
      </c>
      <c r="P247" s="2270">
        <v>200000</v>
      </c>
      <c r="Q247" s="2268" t="s">
        <v>688</v>
      </c>
      <c r="R247" s="2268" t="s">
        <v>2767</v>
      </c>
      <c r="S247" s="2268" t="s">
        <v>2768</v>
      </c>
      <c r="T247" s="2268"/>
    </row>
    <row r="248" spans="1:20" ht="15.75">
      <c r="A248" s="2292"/>
      <c r="B248" s="2271" t="s">
        <v>676</v>
      </c>
      <c r="C248" s="2888" t="s">
        <v>676</v>
      </c>
      <c r="D248" s="2907"/>
      <c r="E248" s="2907"/>
      <c r="F248" s="2908"/>
      <c r="G248" s="2888" t="s">
        <v>676</v>
      </c>
      <c r="H248" s="2908"/>
      <c r="I248" s="2888" t="s">
        <v>676</v>
      </c>
      <c r="J248" s="2908"/>
      <c r="K248" s="2271" t="s">
        <v>676</v>
      </c>
      <c r="L248" s="2271" t="s">
        <v>676</v>
      </c>
      <c r="M248" s="2271" t="s">
        <v>676</v>
      </c>
      <c r="N248" s="2272" t="s">
        <v>676</v>
      </c>
      <c r="O248" s="2270" t="s">
        <v>2769</v>
      </c>
      <c r="P248" s="2270">
        <v>0</v>
      </c>
      <c r="Q248" s="2271" t="s">
        <v>676</v>
      </c>
      <c r="R248" s="2271" t="s">
        <v>676</v>
      </c>
      <c r="S248" s="2271" t="s">
        <v>676</v>
      </c>
      <c r="T248" s="2271" t="s">
        <v>676</v>
      </c>
    </row>
    <row r="249" spans="1:20" ht="15.75">
      <c r="A249" s="2292"/>
      <c r="B249" s="2271" t="s">
        <v>676</v>
      </c>
      <c r="C249" s="2891" t="s">
        <v>676</v>
      </c>
      <c r="D249" s="2907"/>
      <c r="E249" s="2907"/>
      <c r="F249" s="2908"/>
      <c r="G249" s="2892" t="s">
        <v>676</v>
      </c>
      <c r="H249" s="2907"/>
      <c r="I249" s="2888" t="s">
        <v>676</v>
      </c>
      <c r="J249" s="2908"/>
      <c r="K249" s="2271" t="s">
        <v>676</v>
      </c>
      <c r="L249" s="2271" t="s">
        <v>676</v>
      </c>
      <c r="M249" s="2271" t="s">
        <v>676</v>
      </c>
      <c r="N249" s="2272" t="s">
        <v>676</v>
      </c>
      <c r="O249" s="2270" t="s">
        <v>2770</v>
      </c>
      <c r="P249" s="2270">
        <v>0</v>
      </c>
      <c r="Q249" s="2271" t="s">
        <v>676</v>
      </c>
      <c r="R249" s="2271" t="s">
        <v>676</v>
      </c>
      <c r="S249" s="2271" t="s">
        <v>676</v>
      </c>
      <c r="T249" s="2271" t="s">
        <v>676</v>
      </c>
    </row>
    <row r="250" spans="1:20" ht="90">
      <c r="A250" s="2292"/>
      <c r="B250" s="2268">
        <v>3</v>
      </c>
      <c r="C250" s="2882" t="s">
        <v>2815</v>
      </c>
      <c r="D250" s="2905"/>
      <c r="E250" s="2905"/>
      <c r="F250" s="2906"/>
      <c r="G250" s="2882" t="s">
        <v>2816</v>
      </c>
      <c r="H250" s="2906"/>
      <c r="I250" s="2882" t="s">
        <v>2762</v>
      </c>
      <c r="J250" s="2906"/>
      <c r="K250" s="2268" t="s">
        <v>2763</v>
      </c>
      <c r="L250" s="2268" t="s">
        <v>2775</v>
      </c>
      <c r="M250" s="2268" t="s">
        <v>2776</v>
      </c>
      <c r="N250" s="2269">
        <v>333300</v>
      </c>
      <c r="O250" s="2270" t="s">
        <v>2766</v>
      </c>
      <c r="P250" s="2270">
        <v>333300</v>
      </c>
      <c r="Q250" s="2268" t="s">
        <v>688</v>
      </c>
      <c r="R250" s="2268" t="s">
        <v>2767</v>
      </c>
      <c r="S250" s="2268" t="s">
        <v>2768</v>
      </c>
      <c r="T250" s="2268"/>
    </row>
    <row r="251" spans="1:20" ht="15.75">
      <c r="A251" s="2292"/>
      <c r="B251" s="2271" t="s">
        <v>676</v>
      </c>
      <c r="C251" s="2888" t="s">
        <v>676</v>
      </c>
      <c r="D251" s="2907"/>
      <c r="E251" s="2907"/>
      <c r="F251" s="2908"/>
      <c r="G251" s="2888" t="s">
        <v>676</v>
      </c>
      <c r="H251" s="2908"/>
      <c r="I251" s="2888" t="s">
        <v>676</v>
      </c>
      <c r="J251" s="2908"/>
      <c r="K251" s="2271" t="s">
        <v>676</v>
      </c>
      <c r="L251" s="2271" t="s">
        <v>676</v>
      </c>
      <c r="M251" s="2271" t="s">
        <v>676</v>
      </c>
      <c r="N251" s="2272" t="s">
        <v>676</v>
      </c>
      <c r="O251" s="2270" t="s">
        <v>2769</v>
      </c>
      <c r="P251" s="2270">
        <v>0</v>
      </c>
      <c r="Q251" s="2271" t="s">
        <v>676</v>
      </c>
      <c r="R251" s="2271" t="s">
        <v>676</v>
      </c>
      <c r="S251" s="2271" t="s">
        <v>676</v>
      </c>
      <c r="T251" s="2271" t="s">
        <v>676</v>
      </c>
    </row>
    <row r="252" spans="1:20" ht="15.75">
      <c r="A252" s="2292"/>
      <c r="B252" s="2271" t="s">
        <v>676</v>
      </c>
      <c r="C252" s="2891" t="s">
        <v>676</v>
      </c>
      <c r="D252" s="2907"/>
      <c r="E252" s="2907"/>
      <c r="F252" s="2908"/>
      <c r="G252" s="2892" t="s">
        <v>676</v>
      </c>
      <c r="H252" s="2907"/>
      <c r="I252" s="2888" t="s">
        <v>676</v>
      </c>
      <c r="J252" s="2908"/>
      <c r="K252" s="2271" t="s">
        <v>676</v>
      </c>
      <c r="L252" s="2271" t="s">
        <v>676</v>
      </c>
      <c r="M252" s="2271" t="s">
        <v>676</v>
      </c>
      <c r="N252" s="2272" t="s">
        <v>676</v>
      </c>
      <c r="O252" s="2270" t="s">
        <v>2770</v>
      </c>
      <c r="P252" s="2270">
        <v>0</v>
      </c>
      <c r="Q252" s="2271" t="s">
        <v>676</v>
      </c>
      <c r="R252" s="2271" t="s">
        <v>676</v>
      </c>
      <c r="S252" s="2271" t="s">
        <v>676</v>
      </c>
      <c r="T252" s="2271" t="s">
        <v>676</v>
      </c>
    </row>
    <row r="253" spans="1:20" ht="90">
      <c r="A253" s="2292"/>
      <c r="B253" s="2268">
        <v>4</v>
      </c>
      <c r="C253" s="2882" t="s">
        <v>2817</v>
      </c>
      <c r="D253" s="2905"/>
      <c r="E253" s="2905"/>
      <c r="F253" s="2906"/>
      <c r="G253" s="2882" t="s">
        <v>2818</v>
      </c>
      <c r="H253" s="2906"/>
      <c r="I253" s="2882" t="s">
        <v>2762</v>
      </c>
      <c r="J253" s="2906"/>
      <c r="K253" s="2268" t="s">
        <v>2802</v>
      </c>
      <c r="L253" s="2268" t="s">
        <v>2775</v>
      </c>
      <c r="M253" s="2268" t="s">
        <v>2776</v>
      </c>
      <c r="N253" s="2269">
        <v>6635700</v>
      </c>
      <c r="O253" s="2270" t="s">
        <v>2766</v>
      </c>
      <c r="P253" s="2270">
        <v>6635700</v>
      </c>
      <c r="Q253" s="2268" t="s">
        <v>892</v>
      </c>
      <c r="R253" s="2268" t="s">
        <v>2799</v>
      </c>
      <c r="S253" s="2268" t="s">
        <v>2768</v>
      </c>
      <c r="T253" s="2268"/>
    </row>
    <row r="254" spans="1:20" ht="15.75">
      <c r="A254" s="2292"/>
      <c r="B254" s="2271" t="s">
        <v>676</v>
      </c>
      <c r="C254" s="2888" t="s">
        <v>676</v>
      </c>
      <c r="D254" s="2907"/>
      <c r="E254" s="2907"/>
      <c r="F254" s="2908"/>
      <c r="G254" s="2888" t="s">
        <v>676</v>
      </c>
      <c r="H254" s="2908"/>
      <c r="I254" s="2888" t="s">
        <v>676</v>
      </c>
      <c r="J254" s="2908"/>
      <c r="K254" s="2271" t="s">
        <v>676</v>
      </c>
      <c r="L254" s="2271" t="s">
        <v>676</v>
      </c>
      <c r="M254" s="2271" t="s">
        <v>676</v>
      </c>
      <c r="N254" s="2272" t="s">
        <v>676</v>
      </c>
      <c r="O254" s="2270" t="s">
        <v>2769</v>
      </c>
      <c r="P254" s="2270">
        <v>0</v>
      </c>
      <c r="Q254" s="2271" t="s">
        <v>676</v>
      </c>
      <c r="R254" s="2271" t="s">
        <v>676</v>
      </c>
      <c r="S254" s="2271" t="s">
        <v>676</v>
      </c>
      <c r="T254" s="2271" t="s">
        <v>676</v>
      </c>
    </row>
    <row r="255" spans="1:20" ht="15.75">
      <c r="A255" s="2292"/>
      <c r="B255" s="2271" t="s">
        <v>676</v>
      </c>
      <c r="C255" s="2891" t="s">
        <v>676</v>
      </c>
      <c r="D255" s="2907"/>
      <c r="E255" s="2907"/>
      <c r="F255" s="2908"/>
      <c r="G255" s="2892" t="s">
        <v>676</v>
      </c>
      <c r="H255" s="2907"/>
      <c r="I255" s="2888" t="s">
        <v>676</v>
      </c>
      <c r="J255" s="2908"/>
      <c r="K255" s="2271" t="s">
        <v>676</v>
      </c>
      <c r="L255" s="2271" t="s">
        <v>676</v>
      </c>
      <c r="M255" s="2271" t="s">
        <v>676</v>
      </c>
      <c r="N255" s="2272" t="s">
        <v>676</v>
      </c>
      <c r="O255" s="2270" t="s">
        <v>2770</v>
      </c>
      <c r="P255" s="2270">
        <v>0</v>
      </c>
      <c r="Q255" s="2271" t="s">
        <v>676</v>
      </c>
      <c r="R255" s="2271" t="s">
        <v>676</v>
      </c>
      <c r="S255" s="2271" t="s">
        <v>676</v>
      </c>
      <c r="T255" s="2271" t="s">
        <v>676</v>
      </c>
    </row>
    <row r="256" spans="1:20" ht="135">
      <c r="A256" s="2292"/>
      <c r="B256" s="2268">
        <v>5</v>
      </c>
      <c r="C256" s="2882" t="s">
        <v>2819</v>
      </c>
      <c r="D256" s="2905"/>
      <c r="E256" s="2905"/>
      <c r="F256" s="2906"/>
      <c r="G256" s="2882" t="s">
        <v>1966</v>
      </c>
      <c r="H256" s="2906"/>
      <c r="I256" s="2882" t="s">
        <v>2762</v>
      </c>
      <c r="J256" s="2906"/>
      <c r="K256" s="2268" t="s">
        <v>2763</v>
      </c>
      <c r="L256" s="2268" t="s">
        <v>2775</v>
      </c>
      <c r="M256" s="2268" t="s">
        <v>2765</v>
      </c>
      <c r="N256" s="2269">
        <v>100000</v>
      </c>
      <c r="O256" s="2270" t="s">
        <v>2766</v>
      </c>
      <c r="P256" s="2270">
        <v>100000</v>
      </c>
      <c r="Q256" s="2268"/>
      <c r="R256" s="2268" t="s">
        <v>2767</v>
      </c>
      <c r="S256" s="2268" t="s">
        <v>2768</v>
      </c>
      <c r="T256" s="2268"/>
    </row>
    <row r="257" spans="1:20" ht="15.75">
      <c r="A257" s="2292"/>
      <c r="B257" s="2271" t="s">
        <v>676</v>
      </c>
      <c r="C257" s="2888" t="s">
        <v>676</v>
      </c>
      <c r="D257" s="2907"/>
      <c r="E257" s="2907"/>
      <c r="F257" s="2908"/>
      <c r="G257" s="2888" t="s">
        <v>676</v>
      </c>
      <c r="H257" s="2908"/>
      <c r="I257" s="2888" t="s">
        <v>676</v>
      </c>
      <c r="J257" s="2908"/>
      <c r="K257" s="2271" t="s">
        <v>676</v>
      </c>
      <c r="L257" s="2271" t="s">
        <v>676</v>
      </c>
      <c r="M257" s="2271" t="s">
        <v>676</v>
      </c>
      <c r="N257" s="2272" t="s">
        <v>676</v>
      </c>
      <c r="O257" s="2270" t="s">
        <v>2769</v>
      </c>
      <c r="P257" s="2270">
        <v>0</v>
      </c>
      <c r="Q257" s="2271" t="s">
        <v>676</v>
      </c>
      <c r="R257" s="2271" t="s">
        <v>676</v>
      </c>
      <c r="S257" s="2271" t="s">
        <v>676</v>
      </c>
      <c r="T257" s="2271" t="s">
        <v>676</v>
      </c>
    </row>
    <row r="258" spans="1:20" ht="15.75">
      <c r="A258" s="2292"/>
      <c r="B258" s="2271" t="s">
        <v>676</v>
      </c>
      <c r="C258" s="2891" t="s">
        <v>676</v>
      </c>
      <c r="D258" s="2907"/>
      <c r="E258" s="2907"/>
      <c r="F258" s="2908"/>
      <c r="G258" s="2892" t="s">
        <v>676</v>
      </c>
      <c r="H258" s="2907"/>
      <c r="I258" s="2888" t="s">
        <v>676</v>
      </c>
      <c r="J258" s="2908"/>
      <c r="K258" s="2271" t="s">
        <v>676</v>
      </c>
      <c r="L258" s="2271" t="s">
        <v>676</v>
      </c>
      <c r="M258" s="2271" t="s">
        <v>676</v>
      </c>
      <c r="N258" s="2272" t="s">
        <v>676</v>
      </c>
      <c r="O258" s="2270" t="s">
        <v>2770</v>
      </c>
      <c r="P258" s="2270">
        <v>0</v>
      </c>
      <c r="Q258" s="2271" t="s">
        <v>676</v>
      </c>
      <c r="R258" s="2271" t="s">
        <v>676</v>
      </c>
      <c r="S258" s="2271" t="s">
        <v>676</v>
      </c>
      <c r="T258" s="2271" t="s">
        <v>676</v>
      </c>
    </row>
    <row r="259" spans="1:20" ht="90">
      <c r="A259" s="2292"/>
      <c r="B259" s="2268">
        <v>6</v>
      </c>
      <c r="C259" s="2882" t="s">
        <v>1013</v>
      </c>
      <c r="D259" s="2905"/>
      <c r="E259" s="2905"/>
      <c r="F259" s="2906"/>
      <c r="G259" s="2882" t="s">
        <v>1014</v>
      </c>
      <c r="H259" s="2906"/>
      <c r="I259" s="2882" t="s">
        <v>2762</v>
      </c>
      <c r="J259" s="2906"/>
      <c r="K259" s="2268" t="s">
        <v>2763</v>
      </c>
      <c r="L259" s="2268" t="s">
        <v>2764</v>
      </c>
      <c r="M259" s="2268" t="s">
        <v>2776</v>
      </c>
      <c r="N259" s="2269">
        <v>600000</v>
      </c>
      <c r="O259" s="2270" t="s">
        <v>2766</v>
      </c>
      <c r="P259" s="2270">
        <v>600000</v>
      </c>
      <c r="Q259" s="2268" t="s">
        <v>688</v>
      </c>
      <c r="R259" s="2268" t="s">
        <v>2767</v>
      </c>
      <c r="S259" s="2268" t="s">
        <v>2768</v>
      </c>
      <c r="T259" s="2268"/>
    </row>
    <row r="260" spans="1:20" ht="15.75">
      <c r="A260" s="2292"/>
      <c r="B260" s="2271" t="s">
        <v>676</v>
      </c>
      <c r="C260" s="2888" t="s">
        <v>676</v>
      </c>
      <c r="D260" s="2907"/>
      <c r="E260" s="2907"/>
      <c r="F260" s="2908"/>
      <c r="G260" s="2888" t="s">
        <v>676</v>
      </c>
      <c r="H260" s="2908"/>
      <c r="I260" s="2888" t="s">
        <v>676</v>
      </c>
      <c r="J260" s="2908"/>
      <c r="K260" s="2271" t="s">
        <v>676</v>
      </c>
      <c r="L260" s="2271" t="s">
        <v>676</v>
      </c>
      <c r="M260" s="2271" t="s">
        <v>676</v>
      </c>
      <c r="N260" s="2272" t="s">
        <v>676</v>
      </c>
      <c r="O260" s="2270" t="s">
        <v>2769</v>
      </c>
      <c r="P260" s="2270">
        <v>0</v>
      </c>
      <c r="Q260" s="2271" t="s">
        <v>676</v>
      </c>
      <c r="R260" s="2271" t="s">
        <v>676</v>
      </c>
      <c r="S260" s="2271" t="s">
        <v>676</v>
      </c>
      <c r="T260" s="2271" t="s">
        <v>676</v>
      </c>
    </row>
    <row r="261" spans="1:20" ht="15.75">
      <c r="A261" s="2292"/>
      <c r="B261" s="2271" t="s">
        <v>676</v>
      </c>
      <c r="C261" s="2891" t="s">
        <v>676</v>
      </c>
      <c r="D261" s="2907"/>
      <c r="E261" s="2907"/>
      <c r="F261" s="2908"/>
      <c r="G261" s="2892" t="s">
        <v>676</v>
      </c>
      <c r="H261" s="2907"/>
      <c r="I261" s="2888" t="s">
        <v>676</v>
      </c>
      <c r="J261" s="2908"/>
      <c r="K261" s="2271" t="s">
        <v>676</v>
      </c>
      <c r="L261" s="2271" t="s">
        <v>676</v>
      </c>
      <c r="M261" s="2271" t="s">
        <v>676</v>
      </c>
      <c r="N261" s="2272" t="s">
        <v>676</v>
      </c>
      <c r="O261" s="2270" t="s">
        <v>2770</v>
      </c>
      <c r="P261" s="2270">
        <v>0</v>
      </c>
      <c r="Q261" s="2271" t="s">
        <v>676</v>
      </c>
      <c r="R261" s="2271" t="s">
        <v>676</v>
      </c>
      <c r="S261" s="2271" t="s">
        <v>676</v>
      </c>
      <c r="T261" s="2271" t="s">
        <v>676</v>
      </c>
    </row>
    <row r="262" spans="1:20" ht="135">
      <c r="A262" s="2292"/>
      <c r="B262" s="2268">
        <v>7</v>
      </c>
      <c r="C262" s="2882" t="s">
        <v>1441</v>
      </c>
      <c r="D262" s="2905"/>
      <c r="E262" s="2905"/>
      <c r="F262" s="2906"/>
      <c r="G262" s="2882" t="s">
        <v>749</v>
      </c>
      <c r="H262" s="2906"/>
      <c r="I262" s="2882" t="s">
        <v>2762</v>
      </c>
      <c r="J262" s="2906"/>
      <c r="K262" s="2268" t="s">
        <v>2763</v>
      </c>
      <c r="L262" s="2268" t="s">
        <v>2764</v>
      </c>
      <c r="M262" s="2268" t="s">
        <v>2765</v>
      </c>
      <c r="N262" s="2269">
        <v>100000</v>
      </c>
      <c r="O262" s="2270" t="s">
        <v>2766</v>
      </c>
      <c r="P262" s="2270">
        <v>100000</v>
      </c>
      <c r="Q262" s="2268"/>
      <c r="R262" s="2268" t="s">
        <v>2767</v>
      </c>
      <c r="S262" s="2268" t="s">
        <v>2768</v>
      </c>
      <c r="T262" s="2268"/>
    </row>
    <row r="263" spans="1:20" ht="15.75">
      <c r="A263" s="2292"/>
      <c r="B263" s="2271" t="s">
        <v>676</v>
      </c>
      <c r="C263" s="2888" t="s">
        <v>676</v>
      </c>
      <c r="D263" s="2907"/>
      <c r="E263" s="2907"/>
      <c r="F263" s="2908"/>
      <c r="G263" s="2888" t="s">
        <v>676</v>
      </c>
      <c r="H263" s="2908"/>
      <c r="I263" s="2888" t="s">
        <v>676</v>
      </c>
      <c r="J263" s="2908"/>
      <c r="K263" s="2271" t="s">
        <v>676</v>
      </c>
      <c r="L263" s="2271" t="s">
        <v>676</v>
      </c>
      <c r="M263" s="2271" t="s">
        <v>676</v>
      </c>
      <c r="N263" s="2272" t="s">
        <v>676</v>
      </c>
      <c r="O263" s="2270" t="s">
        <v>2769</v>
      </c>
      <c r="P263" s="2270">
        <v>0</v>
      </c>
      <c r="Q263" s="2271" t="s">
        <v>676</v>
      </c>
      <c r="R263" s="2271" t="s">
        <v>676</v>
      </c>
      <c r="S263" s="2271" t="s">
        <v>676</v>
      </c>
      <c r="T263" s="2271" t="s">
        <v>676</v>
      </c>
    </row>
    <row r="264" spans="1:20" ht="15.75">
      <c r="A264" s="2292"/>
      <c r="B264" s="2271" t="s">
        <v>676</v>
      </c>
      <c r="C264" s="2891" t="s">
        <v>676</v>
      </c>
      <c r="D264" s="2907"/>
      <c r="E264" s="2907"/>
      <c r="F264" s="2908"/>
      <c r="G264" s="2892" t="s">
        <v>676</v>
      </c>
      <c r="H264" s="2907"/>
      <c r="I264" s="2888" t="s">
        <v>676</v>
      </c>
      <c r="J264" s="2908"/>
      <c r="K264" s="2271" t="s">
        <v>676</v>
      </c>
      <c r="L264" s="2271" t="s">
        <v>676</v>
      </c>
      <c r="M264" s="2271" t="s">
        <v>676</v>
      </c>
      <c r="N264" s="2272" t="s">
        <v>676</v>
      </c>
      <c r="O264" s="2270" t="s">
        <v>2770</v>
      </c>
      <c r="P264" s="2270">
        <v>0</v>
      </c>
      <c r="Q264" s="2271" t="s">
        <v>676</v>
      </c>
      <c r="R264" s="2271" t="s">
        <v>676</v>
      </c>
      <c r="S264" s="2271" t="s">
        <v>676</v>
      </c>
      <c r="T264" s="2271" t="s">
        <v>676</v>
      </c>
    </row>
    <row r="265" spans="1:20" ht="90">
      <c r="A265" s="2292"/>
      <c r="B265" s="2268">
        <v>8</v>
      </c>
      <c r="C265" s="2882" t="s">
        <v>2820</v>
      </c>
      <c r="D265" s="2905"/>
      <c r="E265" s="2905"/>
      <c r="F265" s="2906"/>
      <c r="G265" s="2882" t="s">
        <v>855</v>
      </c>
      <c r="H265" s="2906"/>
      <c r="I265" s="2882" t="s">
        <v>2762</v>
      </c>
      <c r="J265" s="2906"/>
      <c r="K265" s="2268" t="s">
        <v>2763</v>
      </c>
      <c r="L265" s="2268" t="s">
        <v>2775</v>
      </c>
      <c r="M265" s="2268" t="s">
        <v>2776</v>
      </c>
      <c r="N265" s="2269">
        <v>333300</v>
      </c>
      <c r="O265" s="2270" t="s">
        <v>2766</v>
      </c>
      <c r="P265" s="2270">
        <v>333300</v>
      </c>
      <c r="Q265" s="2268" t="s">
        <v>688</v>
      </c>
      <c r="R265" s="2268" t="s">
        <v>2767</v>
      </c>
      <c r="S265" s="2268" t="s">
        <v>2768</v>
      </c>
      <c r="T265" s="2268"/>
    </row>
    <row r="266" spans="1:20" ht="15.75">
      <c r="A266" s="2292"/>
      <c r="B266" s="2271" t="s">
        <v>676</v>
      </c>
      <c r="C266" s="2888" t="s">
        <v>676</v>
      </c>
      <c r="D266" s="2907"/>
      <c r="E266" s="2907"/>
      <c r="F266" s="2908"/>
      <c r="G266" s="2888" t="s">
        <v>676</v>
      </c>
      <c r="H266" s="2908"/>
      <c r="I266" s="2888" t="s">
        <v>676</v>
      </c>
      <c r="J266" s="2908"/>
      <c r="K266" s="2271" t="s">
        <v>676</v>
      </c>
      <c r="L266" s="2271" t="s">
        <v>676</v>
      </c>
      <c r="M266" s="2271" t="s">
        <v>676</v>
      </c>
      <c r="N266" s="2272" t="s">
        <v>676</v>
      </c>
      <c r="O266" s="2270" t="s">
        <v>2769</v>
      </c>
      <c r="P266" s="2270">
        <v>0</v>
      </c>
      <c r="Q266" s="2271" t="s">
        <v>676</v>
      </c>
      <c r="R266" s="2271" t="s">
        <v>676</v>
      </c>
      <c r="S266" s="2271" t="s">
        <v>676</v>
      </c>
      <c r="T266" s="2271" t="s">
        <v>676</v>
      </c>
    </row>
    <row r="267" spans="1:20" ht="15.75">
      <c r="A267" s="2292"/>
      <c r="B267" s="2271" t="s">
        <v>676</v>
      </c>
      <c r="C267" s="2891" t="s">
        <v>676</v>
      </c>
      <c r="D267" s="2907"/>
      <c r="E267" s="2907"/>
      <c r="F267" s="2908"/>
      <c r="G267" s="2892" t="s">
        <v>676</v>
      </c>
      <c r="H267" s="2907"/>
      <c r="I267" s="2888" t="s">
        <v>676</v>
      </c>
      <c r="J267" s="2908"/>
      <c r="K267" s="2271" t="s">
        <v>676</v>
      </c>
      <c r="L267" s="2271" t="s">
        <v>676</v>
      </c>
      <c r="M267" s="2271" t="s">
        <v>676</v>
      </c>
      <c r="N267" s="2272" t="s">
        <v>676</v>
      </c>
      <c r="O267" s="2270" t="s">
        <v>2770</v>
      </c>
      <c r="P267" s="2270">
        <v>0</v>
      </c>
      <c r="Q267" s="2271" t="s">
        <v>676</v>
      </c>
      <c r="R267" s="2271" t="s">
        <v>676</v>
      </c>
      <c r="S267" s="2271" t="s">
        <v>676</v>
      </c>
      <c r="T267" s="2271" t="s">
        <v>676</v>
      </c>
    </row>
    <row r="268" spans="1:20" ht="90">
      <c r="A268" s="2292"/>
      <c r="B268" s="2268">
        <v>9</v>
      </c>
      <c r="C268" s="2882" t="s">
        <v>958</v>
      </c>
      <c r="D268" s="2905"/>
      <c r="E268" s="2905"/>
      <c r="F268" s="2906"/>
      <c r="G268" s="2882" t="s">
        <v>2821</v>
      </c>
      <c r="H268" s="2906"/>
      <c r="I268" s="2882" t="s">
        <v>2762</v>
      </c>
      <c r="J268" s="2906"/>
      <c r="K268" s="2268" t="s">
        <v>2763</v>
      </c>
      <c r="L268" s="2268" t="s">
        <v>2775</v>
      </c>
      <c r="M268" s="2268" t="s">
        <v>2776</v>
      </c>
      <c r="N268" s="2269">
        <v>250000</v>
      </c>
      <c r="O268" s="2270" t="s">
        <v>2766</v>
      </c>
      <c r="P268" s="2270">
        <v>250000</v>
      </c>
      <c r="Q268" s="2268" t="s">
        <v>688</v>
      </c>
      <c r="R268" s="2268" t="s">
        <v>2767</v>
      </c>
      <c r="S268" s="2268" t="s">
        <v>2768</v>
      </c>
      <c r="T268" s="2268"/>
    </row>
    <row r="269" spans="1:20" ht="15.75">
      <c r="A269" s="2292"/>
      <c r="B269" s="2271" t="s">
        <v>676</v>
      </c>
      <c r="C269" s="2888" t="s">
        <v>676</v>
      </c>
      <c r="D269" s="2907"/>
      <c r="E269" s="2907"/>
      <c r="F269" s="2908"/>
      <c r="G269" s="2888" t="s">
        <v>676</v>
      </c>
      <c r="H269" s="2908"/>
      <c r="I269" s="2888" t="s">
        <v>676</v>
      </c>
      <c r="J269" s="2908"/>
      <c r="K269" s="2271" t="s">
        <v>676</v>
      </c>
      <c r="L269" s="2271" t="s">
        <v>676</v>
      </c>
      <c r="M269" s="2271" t="s">
        <v>676</v>
      </c>
      <c r="N269" s="2272" t="s">
        <v>676</v>
      </c>
      <c r="O269" s="2270" t="s">
        <v>2769</v>
      </c>
      <c r="P269" s="2270">
        <v>0</v>
      </c>
      <c r="Q269" s="2271" t="s">
        <v>676</v>
      </c>
      <c r="R269" s="2271" t="s">
        <v>676</v>
      </c>
      <c r="S269" s="2271" t="s">
        <v>676</v>
      </c>
      <c r="T269" s="2271" t="s">
        <v>676</v>
      </c>
    </row>
    <row r="270" spans="1:20" ht="15.75">
      <c r="A270" s="2292"/>
      <c r="B270" s="2271" t="s">
        <v>676</v>
      </c>
      <c r="C270" s="2891" t="s">
        <v>676</v>
      </c>
      <c r="D270" s="2907"/>
      <c r="E270" s="2907"/>
      <c r="F270" s="2908"/>
      <c r="G270" s="2892" t="s">
        <v>676</v>
      </c>
      <c r="H270" s="2907"/>
      <c r="I270" s="2888" t="s">
        <v>676</v>
      </c>
      <c r="J270" s="2908"/>
      <c r="K270" s="2271" t="s">
        <v>676</v>
      </c>
      <c r="L270" s="2271" t="s">
        <v>676</v>
      </c>
      <c r="M270" s="2271" t="s">
        <v>676</v>
      </c>
      <c r="N270" s="2272" t="s">
        <v>676</v>
      </c>
      <c r="O270" s="2270" t="s">
        <v>2770</v>
      </c>
      <c r="P270" s="2270">
        <v>0</v>
      </c>
      <c r="Q270" s="2271" t="s">
        <v>676</v>
      </c>
      <c r="R270" s="2271" t="s">
        <v>676</v>
      </c>
      <c r="S270" s="2271" t="s">
        <v>676</v>
      </c>
      <c r="T270" s="2271" t="s">
        <v>676</v>
      </c>
    </row>
    <row r="271" spans="1:20" ht="135">
      <c r="A271" s="2292"/>
      <c r="B271" s="2268">
        <v>10</v>
      </c>
      <c r="C271" s="2882" t="s">
        <v>2822</v>
      </c>
      <c r="D271" s="2905"/>
      <c r="E271" s="2905"/>
      <c r="F271" s="2906"/>
      <c r="G271" s="2882" t="s">
        <v>2823</v>
      </c>
      <c r="H271" s="2906"/>
      <c r="I271" s="2882" t="s">
        <v>2762</v>
      </c>
      <c r="J271" s="2906"/>
      <c r="K271" s="2268" t="s">
        <v>2763</v>
      </c>
      <c r="L271" s="2268" t="s">
        <v>2764</v>
      </c>
      <c r="M271" s="2268" t="s">
        <v>2765</v>
      </c>
      <c r="N271" s="2269">
        <v>100000</v>
      </c>
      <c r="O271" s="2270" t="s">
        <v>2766</v>
      </c>
      <c r="P271" s="2270">
        <v>100000</v>
      </c>
      <c r="Q271" s="2268"/>
      <c r="R271" s="2268" t="s">
        <v>2767</v>
      </c>
      <c r="S271" s="2268" t="s">
        <v>2768</v>
      </c>
      <c r="T271" s="2268"/>
    </row>
    <row r="272" spans="1:20" ht="15.75">
      <c r="A272" s="2292"/>
      <c r="B272" s="2271" t="s">
        <v>676</v>
      </c>
      <c r="C272" s="2888" t="s">
        <v>676</v>
      </c>
      <c r="D272" s="2907"/>
      <c r="E272" s="2907"/>
      <c r="F272" s="2908"/>
      <c r="G272" s="2888" t="s">
        <v>676</v>
      </c>
      <c r="H272" s="2908"/>
      <c r="I272" s="2888" t="s">
        <v>676</v>
      </c>
      <c r="J272" s="2908"/>
      <c r="K272" s="2271" t="s">
        <v>676</v>
      </c>
      <c r="L272" s="2271" t="s">
        <v>676</v>
      </c>
      <c r="M272" s="2271" t="s">
        <v>676</v>
      </c>
      <c r="N272" s="2272" t="s">
        <v>676</v>
      </c>
      <c r="O272" s="2270" t="s">
        <v>2769</v>
      </c>
      <c r="P272" s="2270">
        <v>0</v>
      </c>
      <c r="Q272" s="2271" t="s">
        <v>676</v>
      </c>
      <c r="R272" s="2271" t="s">
        <v>676</v>
      </c>
      <c r="S272" s="2271" t="s">
        <v>676</v>
      </c>
      <c r="T272" s="2271" t="s">
        <v>676</v>
      </c>
    </row>
    <row r="273" spans="1:20" ht="15.75">
      <c r="A273" s="2292"/>
      <c r="B273" s="2271" t="s">
        <v>676</v>
      </c>
      <c r="C273" s="2891" t="s">
        <v>676</v>
      </c>
      <c r="D273" s="2907"/>
      <c r="E273" s="2907"/>
      <c r="F273" s="2908"/>
      <c r="G273" s="2892" t="s">
        <v>676</v>
      </c>
      <c r="H273" s="2907"/>
      <c r="I273" s="2888" t="s">
        <v>676</v>
      </c>
      <c r="J273" s="2908"/>
      <c r="K273" s="2271" t="s">
        <v>676</v>
      </c>
      <c r="L273" s="2271" t="s">
        <v>676</v>
      </c>
      <c r="M273" s="2271" t="s">
        <v>676</v>
      </c>
      <c r="N273" s="2272" t="s">
        <v>676</v>
      </c>
      <c r="O273" s="2270" t="s">
        <v>2770</v>
      </c>
      <c r="P273" s="2270">
        <v>0</v>
      </c>
      <c r="Q273" s="2271" t="s">
        <v>676</v>
      </c>
      <c r="R273" s="2271" t="s">
        <v>676</v>
      </c>
      <c r="S273" s="2271" t="s">
        <v>676</v>
      </c>
      <c r="T273" s="2271" t="s">
        <v>676</v>
      </c>
    </row>
    <row r="274" spans="1:20" ht="135">
      <c r="A274" s="2292"/>
      <c r="B274" s="2268">
        <v>11</v>
      </c>
      <c r="C274" s="2882" t="s">
        <v>2824</v>
      </c>
      <c r="D274" s="2905"/>
      <c r="E274" s="2905"/>
      <c r="F274" s="2906"/>
      <c r="G274" s="2882" t="s">
        <v>2825</v>
      </c>
      <c r="H274" s="2906"/>
      <c r="I274" s="2882" t="s">
        <v>2762</v>
      </c>
      <c r="J274" s="2906"/>
      <c r="K274" s="2268" t="s">
        <v>2763</v>
      </c>
      <c r="L274" s="2268" t="s">
        <v>2764</v>
      </c>
      <c r="M274" s="2268" t="s">
        <v>2765</v>
      </c>
      <c r="N274" s="2269">
        <v>100000</v>
      </c>
      <c r="O274" s="2270" t="s">
        <v>2766</v>
      </c>
      <c r="P274" s="2270">
        <v>100000</v>
      </c>
      <c r="Q274" s="2268"/>
      <c r="R274" s="2268" t="s">
        <v>2767</v>
      </c>
      <c r="S274" s="2268" t="s">
        <v>2768</v>
      </c>
      <c r="T274" s="2268"/>
    </row>
    <row r="275" spans="1:20" ht="15.75">
      <c r="A275" s="2292"/>
      <c r="B275" s="2271" t="s">
        <v>676</v>
      </c>
      <c r="C275" s="2888" t="s">
        <v>676</v>
      </c>
      <c r="D275" s="2907"/>
      <c r="E275" s="2907"/>
      <c r="F275" s="2908"/>
      <c r="G275" s="2888" t="s">
        <v>676</v>
      </c>
      <c r="H275" s="2908"/>
      <c r="I275" s="2888" t="s">
        <v>676</v>
      </c>
      <c r="J275" s="2908"/>
      <c r="K275" s="2271" t="s">
        <v>676</v>
      </c>
      <c r="L275" s="2271" t="s">
        <v>676</v>
      </c>
      <c r="M275" s="2271" t="s">
        <v>676</v>
      </c>
      <c r="N275" s="2272" t="s">
        <v>676</v>
      </c>
      <c r="O275" s="2270" t="s">
        <v>2769</v>
      </c>
      <c r="P275" s="2270">
        <v>0</v>
      </c>
      <c r="Q275" s="2271" t="s">
        <v>676</v>
      </c>
      <c r="R275" s="2271" t="s">
        <v>676</v>
      </c>
      <c r="S275" s="2271" t="s">
        <v>676</v>
      </c>
      <c r="T275" s="2271" t="s">
        <v>676</v>
      </c>
    </row>
    <row r="276" spans="1:20" ht="15.75">
      <c r="A276" s="2292"/>
      <c r="B276" s="2271" t="s">
        <v>676</v>
      </c>
      <c r="C276" s="2891" t="s">
        <v>676</v>
      </c>
      <c r="D276" s="2907"/>
      <c r="E276" s="2907"/>
      <c r="F276" s="2908"/>
      <c r="G276" s="2892" t="s">
        <v>676</v>
      </c>
      <c r="H276" s="2907"/>
      <c r="I276" s="2888" t="s">
        <v>676</v>
      </c>
      <c r="J276" s="2908"/>
      <c r="K276" s="2271" t="s">
        <v>676</v>
      </c>
      <c r="L276" s="2271" t="s">
        <v>676</v>
      </c>
      <c r="M276" s="2271" t="s">
        <v>676</v>
      </c>
      <c r="N276" s="2272" t="s">
        <v>676</v>
      </c>
      <c r="O276" s="2270" t="s">
        <v>2770</v>
      </c>
      <c r="P276" s="2270">
        <v>0</v>
      </c>
      <c r="Q276" s="2271" t="s">
        <v>676</v>
      </c>
      <c r="R276" s="2271" t="s">
        <v>676</v>
      </c>
      <c r="S276" s="2271" t="s">
        <v>676</v>
      </c>
      <c r="T276" s="2271" t="s">
        <v>676</v>
      </c>
    </row>
    <row r="277" spans="1:20" ht="135">
      <c r="A277" s="2292"/>
      <c r="B277" s="2268">
        <v>12</v>
      </c>
      <c r="C277" s="2882" t="s">
        <v>172</v>
      </c>
      <c r="D277" s="2905"/>
      <c r="E277" s="2905"/>
      <c r="F277" s="2906"/>
      <c r="G277" s="2882" t="s">
        <v>2826</v>
      </c>
      <c r="H277" s="2906"/>
      <c r="I277" s="2882" t="s">
        <v>2762</v>
      </c>
      <c r="J277" s="2906"/>
      <c r="K277" s="2268" t="s">
        <v>2763</v>
      </c>
      <c r="L277" s="2268" t="s">
        <v>2775</v>
      </c>
      <c r="M277" s="2268" t="s">
        <v>2765</v>
      </c>
      <c r="N277" s="2269">
        <v>100000</v>
      </c>
      <c r="O277" s="2270" t="s">
        <v>2766</v>
      </c>
      <c r="P277" s="2270">
        <v>100000</v>
      </c>
      <c r="Q277" s="2268"/>
      <c r="R277" s="2268" t="s">
        <v>2767</v>
      </c>
      <c r="S277" s="2268" t="s">
        <v>2768</v>
      </c>
      <c r="T277" s="2268"/>
    </row>
    <row r="278" spans="1:20" ht="15.75">
      <c r="A278" s="2292"/>
      <c r="B278" s="2271" t="s">
        <v>676</v>
      </c>
      <c r="C278" s="2888" t="s">
        <v>676</v>
      </c>
      <c r="D278" s="2907"/>
      <c r="E278" s="2907"/>
      <c r="F278" s="2908"/>
      <c r="G278" s="2888" t="s">
        <v>676</v>
      </c>
      <c r="H278" s="2908"/>
      <c r="I278" s="2888" t="s">
        <v>676</v>
      </c>
      <c r="J278" s="2908"/>
      <c r="K278" s="2271" t="s">
        <v>676</v>
      </c>
      <c r="L278" s="2271" t="s">
        <v>676</v>
      </c>
      <c r="M278" s="2271" t="s">
        <v>676</v>
      </c>
      <c r="N278" s="2272" t="s">
        <v>676</v>
      </c>
      <c r="O278" s="2270" t="s">
        <v>2769</v>
      </c>
      <c r="P278" s="2270">
        <v>0</v>
      </c>
      <c r="Q278" s="2271" t="s">
        <v>676</v>
      </c>
      <c r="R278" s="2271" t="s">
        <v>676</v>
      </c>
      <c r="S278" s="2271" t="s">
        <v>676</v>
      </c>
      <c r="T278" s="2271" t="s">
        <v>676</v>
      </c>
    </row>
    <row r="279" spans="1:20" ht="15.75">
      <c r="A279" s="2292"/>
      <c r="B279" s="2271" t="s">
        <v>676</v>
      </c>
      <c r="C279" s="2891" t="s">
        <v>676</v>
      </c>
      <c r="D279" s="2907"/>
      <c r="E279" s="2907"/>
      <c r="F279" s="2908"/>
      <c r="G279" s="2892" t="s">
        <v>676</v>
      </c>
      <c r="H279" s="2907"/>
      <c r="I279" s="2888" t="s">
        <v>676</v>
      </c>
      <c r="J279" s="2908"/>
      <c r="K279" s="2271" t="s">
        <v>676</v>
      </c>
      <c r="L279" s="2271" t="s">
        <v>676</v>
      </c>
      <c r="M279" s="2271" t="s">
        <v>676</v>
      </c>
      <c r="N279" s="2272" t="s">
        <v>676</v>
      </c>
      <c r="O279" s="2270" t="s">
        <v>2770</v>
      </c>
      <c r="P279" s="2270">
        <v>0</v>
      </c>
      <c r="Q279" s="2271" t="s">
        <v>676</v>
      </c>
      <c r="R279" s="2271" t="s">
        <v>676</v>
      </c>
      <c r="S279" s="2271" t="s">
        <v>676</v>
      </c>
      <c r="T279" s="2271" t="s">
        <v>676</v>
      </c>
    </row>
    <row r="280" spans="1:20" ht="90">
      <c r="A280" s="2292"/>
      <c r="B280" s="2268">
        <v>13</v>
      </c>
      <c r="C280" s="2882" t="s">
        <v>912</v>
      </c>
      <c r="D280" s="2905"/>
      <c r="E280" s="2905"/>
      <c r="F280" s="2906"/>
      <c r="G280" s="2882" t="s">
        <v>2827</v>
      </c>
      <c r="H280" s="2906"/>
      <c r="I280" s="2882" t="s">
        <v>2762</v>
      </c>
      <c r="J280" s="2906"/>
      <c r="K280" s="2268" t="s">
        <v>2763</v>
      </c>
      <c r="L280" s="2268" t="s">
        <v>2775</v>
      </c>
      <c r="M280" s="2268" t="s">
        <v>2776</v>
      </c>
      <c r="N280" s="2269">
        <v>600000</v>
      </c>
      <c r="O280" s="2270" t="s">
        <v>2766</v>
      </c>
      <c r="P280" s="2270">
        <v>600000</v>
      </c>
      <c r="Q280" s="2268" t="s">
        <v>688</v>
      </c>
      <c r="R280" s="2268" t="s">
        <v>2767</v>
      </c>
      <c r="S280" s="2268" t="s">
        <v>2768</v>
      </c>
      <c r="T280" s="2268"/>
    </row>
    <row r="281" spans="1:20" ht="15.75">
      <c r="A281" s="2292"/>
      <c r="B281" s="2271" t="s">
        <v>676</v>
      </c>
      <c r="C281" s="2888" t="s">
        <v>676</v>
      </c>
      <c r="D281" s="2907"/>
      <c r="E281" s="2907"/>
      <c r="F281" s="2908"/>
      <c r="G281" s="2888" t="s">
        <v>676</v>
      </c>
      <c r="H281" s="2908"/>
      <c r="I281" s="2888" t="s">
        <v>676</v>
      </c>
      <c r="J281" s="2908"/>
      <c r="K281" s="2271" t="s">
        <v>676</v>
      </c>
      <c r="L281" s="2271" t="s">
        <v>676</v>
      </c>
      <c r="M281" s="2271" t="s">
        <v>676</v>
      </c>
      <c r="N281" s="2272" t="s">
        <v>676</v>
      </c>
      <c r="O281" s="2270" t="s">
        <v>2769</v>
      </c>
      <c r="P281" s="2270">
        <v>0</v>
      </c>
      <c r="Q281" s="2271" t="s">
        <v>676</v>
      </c>
      <c r="R281" s="2271" t="s">
        <v>676</v>
      </c>
      <c r="S281" s="2271" t="s">
        <v>676</v>
      </c>
      <c r="T281" s="2271" t="s">
        <v>676</v>
      </c>
    </row>
    <row r="282" spans="1:20" ht="15.75">
      <c r="A282" s="2292"/>
      <c r="B282" s="2273" t="s">
        <v>676</v>
      </c>
      <c r="C282" s="2896" t="s">
        <v>676</v>
      </c>
      <c r="D282" s="2897"/>
      <c r="E282" s="2897"/>
      <c r="F282" s="2898"/>
      <c r="G282" s="2899" t="s">
        <v>676</v>
      </c>
      <c r="H282" s="2897"/>
      <c r="I282" s="2900" t="s">
        <v>676</v>
      </c>
      <c r="J282" s="2898"/>
      <c r="K282" s="2273" t="s">
        <v>676</v>
      </c>
      <c r="L282" s="2273" t="s">
        <v>676</v>
      </c>
      <c r="M282" s="2273" t="s">
        <v>676</v>
      </c>
      <c r="N282" s="2274" t="s">
        <v>676</v>
      </c>
      <c r="O282" s="2270" t="s">
        <v>2770</v>
      </c>
      <c r="P282" s="2270">
        <v>0</v>
      </c>
      <c r="Q282" s="2273" t="s">
        <v>676</v>
      </c>
      <c r="R282" s="2273" t="s">
        <v>676</v>
      </c>
      <c r="S282" s="2273" t="s">
        <v>676</v>
      </c>
      <c r="T282" s="2273" t="s">
        <v>676</v>
      </c>
    </row>
    <row r="283" spans="1:20" ht="30">
      <c r="A283" s="2293"/>
      <c r="B283" s="2294" t="s">
        <v>82</v>
      </c>
      <c r="C283" s="2295"/>
      <c r="D283" s="2295"/>
      <c r="E283" s="2295"/>
      <c r="F283" s="2295"/>
      <c r="G283" s="2295"/>
      <c r="H283" s="2295">
        <f>SUM(H242:H282)</f>
        <v>0</v>
      </c>
      <c r="I283" s="2295"/>
      <c r="J283" s="2295">
        <f>SUM(J242:J282)</f>
        <v>0</v>
      </c>
      <c r="K283" s="2295"/>
      <c r="L283" s="2295"/>
      <c r="M283" s="2295"/>
      <c r="N283" s="2295">
        <f>SUM(N244:N282)</f>
        <v>10252300</v>
      </c>
      <c r="O283" s="2295"/>
      <c r="P283" s="2295">
        <f>SUM(P244:P282)</f>
        <v>10252300</v>
      </c>
      <c r="Q283" s="2296"/>
      <c r="R283" s="2296"/>
      <c r="S283" s="2296"/>
      <c r="T283" s="2297"/>
    </row>
    <row r="284" spans="1:20" ht="20.25">
      <c r="A284" s="2298"/>
      <c r="B284" s="2299"/>
      <c r="C284" s="2298"/>
      <c r="D284" s="2298"/>
      <c r="E284" s="2299"/>
      <c r="F284" s="2298"/>
      <c r="G284" s="2298"/>
      <c r="H284" s="2298"/>
      <c r="I284" s="2298"/>
      <c r="J284" s="2285"/>
      <c r="K284" s="2285"/>
      <c r="L284" s="2285"/>
      <c r="M284" s="2300"/>
      <c r="N284" s="2285"/>
      <c r="O284" s="2284" t="s">
        <v>2789</v>
      </c>
      <c r="P284" s="2285"/>
      <c r="Q284" s="2285"/>
      <c r="R284" s="2285"/>
      <c r="S284" s="2285"/>
      <c r="T284" s="2285"/>
    </row>
    <row r="285" spans="1:20" ht="20.25">
      <c r="A285" s="2285"/>
      <c r="B285" s="2285"/>
      <c r="C285" s="2285"/>
      <c r="D285" s="2285"/>
      <c r="E285" s="2285"/>
      <c r="F285" s="2285"/>
      <c r="G285" s="2285"/>
      <c r="H285" s="2285"/>
      <c r="I285" s="2285"/>
      <c r="J285" s="2285"/>
      <c r="K285" s="2285"/>
      <c r="L285" s="2285"/>
      <c r="M285" s="2300"/>
      <c r="N285" s="2285"/>
      <c r="O285" s="2284" t="s">
        <v>2790</v>
      </c>
      <c r="P285" s="2285"/>
      <c r="Q285" s="2285"/>
      <c r="R285" s="2285"/>
      <c r="S285" s="2285"/>
      <c r="T285" s="2285"/>
    </row>
    <row r="286" spans="1:20" ht="23.25">
      <c r="A286" s="2985" t="s">
        <v>2749</v>
      </c>
      <c r="B286" s="2987"/>
      <c r="C286" s="2987"/>
      <c r="D286" s="2987"/>
      <c r="E286" s="2987"/>
      <c r="F286" s="2987"/>
      <c r="G286" s="2987"/>
      <c r="H286" s="2261"/>
      <c r="I286" s="2261"/>
      <c r="J286" s="2261"/>
      <c r="K286" s="2261"/>
      <c r="L286" s="2261"/>
      <c r="M286" s="2262"/>
      <c r="N286" s="2263"/>
      <c r="O286" s="2263"/>
      <c r="P286" s="2263"/>
      <c r="Q286" s="2261"/>
      <c r="R286" s="2261"/>
      <c r="S286" s="2261"/>
      <c r="T286" s="2261"/>
    </row>
    <row r="287" spans="1:20" ht="15">
      <c r="A287" s="2261"/>
      <c r="B287" s="2261"/>
      <c r="C287" s="2261"/>
      <c r="D287" s="2261"/>
      <c r="E287" s="2261"/>
      <c r="F287" s="2261"/>
      <c r="G287" s="2261"/>
      <c r="H287" s="2261"/>
      <c r="I287" s="2261"/>
      <c r="J287" s="2261"/>
      <c r="K287" s="2261"/>
      <c r="L287" s="2261"/>
      <c r="M287" s="2262"/>
      <c r="N287" s="2263"/>
      <c r="O287" s="2263"/>
      <c r="P287" s="2263"/>
      <c r="Q287" s="2261"/>
      <c r="R287" s="2261"/>
      <c r="S287" s="2261"/>
      <c r="T287" s="2261"/>
    </row>
    <row r="288" spans="1:20" ht="15">
      <c r="A288" s="2960" t="s">
        <v>653</v>
      </c>
      <c r="B288" s="2988"/>
      <c r="C288" s="2988"/>
      <c r="D288" s="2261"/>
      <c r="E288" s="2264">
        <v>2020</v>
      </c>
      <c r="F288" s="2261"/>
      <c r="G288" s="2261"/>
      <c r="H288" s="2261"/>
      <c r="I288" s="2261"/>
      <c r="J288" s="2261"/>
      <c r="K288" s="2261"/>
      <c r="L288" s="2261"/>
      <c r="M288" s="2262"/>
      <c r="N288" s="2263"/>
      <c r="O288" s="2263"/>
      <c r="P288" s="2263"/>
      <c r="Q288" s="2261"/>
      <c r="R288" s="2261"/>
      <c r="S288" s="2261"/>
      <c r="T288" s="2261"/>
    </row>
    <row r="289" spans="1:20" ht="15">
      <c r="A289" s="2261"/>
      <c r="B289" s="2261"/>
      <c r="C289" s="2261"/>
      <c r="D289" s="2261"/>
      <c r="E289" s="2261"/>
      <c r="F289" s="2261"/>
      <c r="G289" s="2261"/>
      <c r="H289" s="2261"/>
      <c r="I289" s="2261"/>
      <c r="J289" s="2261"/>
      <c r="K289" s="2261"/>
      <c r="L289" s="2261"/>
      <c r="M289" s="2262"/>
      <c r="N289" s="2263"/>
      <c r="O289" s="2263"/>
      <c r="P289" s="2263"/>
      <c r="Q289" s="2261"/>
      <c r="R289" s="2261"/>
      <c r="S289" s="2261"/>
      <c r="T289" s="2261"/>
    </row>
    <row r="290" spans="1:20" ht="15">
      <c r="A290" s="2960" t="s">
        <v>655</v>
      </c>
      <c r="B290" s="2988"/>
      <c r="C290" s="2988"/>
      <c r="D290" s="2261"/>
      <c r="E290" s="2961" t="s">
        <v>2828</v>
      </c>
      <c r="F290" s="2988"/>
      <c r="G290" s="2988"/>
      <c r="H290" s="2988"/>
      <c r="I290" s="2988"/>
      <c r="J290" s="2261"/>
      <c r="K290" s="2261"/>
      <c r="L290" s="2261"/>
      <c r="M290" s="2262"/>
      <c r="N290" s="2263"/>
      <c r="O290" s="2263"/>
      <c r="P290" s="2263"/>
      <c r="Q290" s="2261"/>
      <c r="R290" s="2261"/>
      <c r="S290" s="2261"/>
      <c r="T290" s="2261"/>
    </row>
    <row r="291" spans="1:20" ht="15">
      <c r="A291" s="2261"/>
      <c r="B291" s="2261"/>
      <c r="C291" s="2261"/>
      <c r="D291" s="2261"/>
      <c r="E291" s="2261"/>
      <c r="F291" s="2261"/>
      <c r="G291" s="2261"/>
      <c r="H291" s="2261"/>
      <c r="I291" s="2261"/>
      <c r="J291" s="2261"/>
      <c r="K291" s="2261"/>
      <c r="L291" s="2261"/>
      <c r="M291" s="2262"/>
      <c r="N291" s="2263"/>
      <c r="O291" s="2263"/>
      <c r="P291" s="2263"/>
      <c r="Q291" s="2261"/>
      <c r="R291" s="2261"/>
      <c r="S291" s="2261"/>
      <c r="T291" s="2261"/>
    </row>
    <row r="292" spans="1:20" ht="126">
      <c r="A292" s="2265"/>
      <c r="B292" s="2266" t="s">
        <v>657</v>
      </c>
      <c r="C292" s="2893" t="s">
        <v>587</v>
      </c>
      <c r="D292" s="2894"/>
      <c r="E292" s="2894"/>
      <c r="F292" s="2895"/>
      <c r="G292" s="2893" t="s">
        <v>2751</v>
      </c>
      <c r="H292" s="2895"/>
      <c r="I292" s="2893" t="s">
        <v>2752</v>
      </c>
      <c r="J292" s="2895"/>
      <c r="K292" s="2266" t="s">
        <v>2753</v>
      </c>
      <c r="L292" s="2266" t="s">
        <v>2754</v>
      </c>
      <c r="M292" s="2266" t="s">
        <v>2755</v>
      </c>
      <c r="N292" s="2267" t="s">
        <v>2756</v>
      </c>
      <c r="O292" s="2267" t="s">
        <v>2757</v>
      </c>
      <c r="P292" s="2267" t="s">
        <v>2758</v>
      </c>
      <c r="Q292" s="2266" t="s">
        <v>623</v>
      </c>
      <c r="R292" s="2266" t="s">
        <v>2759</v>
      </c>
      <c r="S292" s="2266" t="s">
        <v>2760</v>
      </c>
      <c r="T292" s="2266" t="s">
        <v>2761</v>
      </c>
    </row>
    <row r="293" spans="1:20" ht="135">
      <c r="A293" s="2265"/>
      <c r="B293" s="2268">
        <v>1</v>
      </c>
      <c r="C293" s="2882" t="s">
        <v>2829</v>
      </c>
      <c r="D293" s="2883"/>
      <c r="E293" s="2883"/>
      <c r="F293" s="2884"/>
      <c r="G293" s="2882" t="s">
        <v>2830</v>
      </c>
      <c r="H293" s="2884"/>
      <c r="I293" s="2882" t="s">
        <v>2762</v>
      </c>
      <c r="J293" s="2884"/>
      <c r="K293" s="2268" t="s">
        <v>2763</v>
      </c>
      <c r="L293" s="2268" t="s">
        <v>2764</v>
      </c>
      <c r="M293" s="2268" t="s">
        <v>2765</v>
      </c>
      <c r="N293" s="2269">
        <v>99000</v>
      </c>
      <c r="O293" s="2270" t="s">
        <v>2766</v>
      </c>
      <c r="P293" s="2270">
        <v>99000</v>
      </c>
      <c r="Q293" s="2268"/>
      <c r="R293" s="2268" t="s">
        <v>2767</v>
      </c>
      <c r="S293" s="2268" t="s">
        <v>2768</v>
      </c>
      <c r="T293" s="2268"/>
    </row>
    <row r="294" spans="1:20" ht="15">
      <c r="A294" s="2265"/>
      <c r="B294" s="2271" t="s">
        <v>676</v>
      </c>
      <c r="C294" s="2888" t="s">
        <v>676</v>
      </c>
      <c r="D294" s="2889"/>
      <c r="E294" s="2889"/>
      <c r="F294" s="2890"/>
      <c r="G294" s="2888" t="s">
        <v>676</v>
      </c>
      <c r="H294" s="2890"/>
      <c r="I294" s="2888" t="s">
        <v>676</v>
      </c>
      <c r="J294" s="2890"/>
      <c r="K294" s="2271" t="s">
        <v>676</v>
      </c>
      <c r="L294" s="2271" t="s">
        <v>676</v>
      </c>
      <c r="M294" s="2271" t="s">
        <v>676</v>
      </c>
      <c r="N294" s="2272" t="s">
        <v>676</v>
      </c>
      <c r="O294" s="2270" t="s">
        <v>2769</v>
      </c>
      <c r="P294" s="2270">
        <v>0</v>
      </c>
      <c r="Q294" s="2271" t="s">
        <v>676</v>
      </c>
      <c r="R294" s="2271" t="s">
        <v>676</v>
      </c>
      <c r="S294" s="2271" t="s">
        <v>676</v>
      </c>
      <c r="T294" s="2271" t="s">
        <v>676</v>
      </c>
    </row>
    <row r="295" spans="1:20" ht="15">
      <c r="A295" s="2265"/>
      <c r="B295" s="2271" t="s">
        <v>676</v>
      </c>
      <c r="C295" s="2891" t="s">
        <v>676</v>
      </c>
      <c r="D295" s="2889"/>
      <c r="E295" s="2889"/>
      <c r="F295" s="2890"/>
      <c r="G295" s="2892" t="s">
        <v>676</v>
      </c>
      <c r="H295" s="2889"/>
      <c r="I295" s="2888" t="s">
        <v>676</v>
      </c>
      <c r="J295" s="2890"/>
      <c r="K295" s="2271" t="s">
        <v>676</v>
      </c>
      <c r="L295" s="2271" t="s">
        <v>676</v>
      </c>
      <c r="M295" s="2271" t="s">
        <v>676</v>
      </c>
      <c r="N295" s="2272" t="s">
        <v>676</v>
      </c>
      <c r="O295" s="2270" t="s">
        <v>2770</v>
      </c>
      <c r="P295" s="2270">
        <v>0</v>
      </c>
      <c r="Q295" s="2271" t="s">
        <v>676</v>
      </c>
      <c r="R295" s="2271" t="s">
        <v>676</v>
      </c>
      <c r="S295" s="2271" t="s">
        <v>676</v>
      </c>
      <c r="T295" s="2271" t="s">
        <v>676</v>
      </c>
    </row>
    <row r="296" spans="1:20" ht="90">
      <c r="A296" s="2265"/>
      <c r="B296" s="2268">
        <v>2</v>
      </c>
      <c r="C296" s="2882" t="s">
        <v>2831</v>
      </c>
      <c r="D296" s="2883"/>
      <c r="E296" s="2883"/>
      <c r="F296" s="2884"/>
      <c r="G296" s="2882" t="s">
        <v>711</v>
      </c>
      <c r="H296" s="2884"/>
      <c r="I296" s="2882" t="s">
        <v>2762</v>
      </c>
      <c r="J296" s="2884"/>
      <c r="K296" s="2268" t="s">
        <v>2763</v>
      </c>
      <c r="L296" s="2268" t="s">
        <v>2764</v>
      </c>
      <c r="M296" s="2268" t="s">
        <v>2776</v>
      </c>
      <c r="N296" s="2269">
        <v>800000</v>
      </c>
      <c r="O296" s="2270" t="s">
        <v>2766</v>
      </c>
      <c r="P296" s="2270">
        <v>800000</v>
      </c>
      <c r="Q296" s="2268" t="s">
        <v>688</v>
      </c>
      <c r="R296" s="2268" t="s">
        <v>2767</v>
      </c>
      <c r="S296" s="2268" t="s">
        <v>2768</v>
      </c>
      <c r="T296" s="2268"/>
    </row>
    <row r="297" spans="1:20" ht="15">
      <c r="A297" s="2265"/>
      <c r="B297" s="2271" t="s">
        <v>676</v>
      </c>
      <c r="C297" s="2888" t="s">
        <v>676</v>
      </c>
      <c r="D297" s="2889"/>
      <c r="E297" s="2889"/>
      <c r="F297" s="2890"/>
      <c r="G297" s="2888" t="s">
        <v>676</v>
      </c>
      <c r="H297" s="2890"/>
      <c r="I297" s="2888" t="s">
        <v>676</v>
      </c>
      <c r="J297" s="2890"/>
      <c r="K297" s="2271" t="s">
        <v>676</v>
      </c>
      <c r="L297" s="2271" t="s">
        <v>676</v>
      </c>
      <c r="M297" s="2271" t="s">
        <v>676</v>
      </c>
      <c r="N297" s="2272" t="s">
        <v>676</v>
      </c>
      <c r="O297" s="2270" t="s">
        <v>2769</v>
      </c>
      <c r="P297" s="2270">
        <v>0</v>
      </c>
      <c r="Q297" s="2271" t="s">
        <v>676</v>
      </c>
      <c r="R297" s="2271" t="s">
        <v>676</v>
      </c>
      <c r="S297" s="2271" t="s">
        <v>676</v>
      </c>
      <c r="T297" s="2271" t="s">
        <v>676</v>
      </c>
    </row>
    <row r="298" spans="1:20" ht="15">
      <c r="A298" s="2265"/>
      <c r="B298" s="2271" t="s">
        <v>676</v>
      </c>
      <c r="C298" s="2891" t="s">
        <v>676</v>
      </c>
      <c r="D298" s="2889"/>
      <c r="E298" s="2889"/>
      <c r="F298" s="2890"/>
      <c r="G298" s="2892" t="s">
        <v>676</v>
      </c>
      <c r="H298" s="2889"/>
      <c r="I298" s="2888" t="s">
        <v>676</v>
      </c>
      <c r="J298" s="2890"/>
      <c r="K298" s="2271" t="s">
        <v>676</v>
      </c>
      <c r="L298" s="2271" t="s">
        <v>676</v>
      </c>
      <c r="M298" s="2271" t="s">
        <v>676</v>
      </c>
      <c r="N298" s="2272" t="s">
        <v>676</v>
      </c>
      <c r="O298" s="2270" t="s">
        <v>2770</v>
      </c>
      <c r="P298" s="2270">
        <v>0</v>
      </c>
      <c r="Q298" s="2271" t="s">
        <v>676</v>
      </c>
      <c r="R298" s="2271" t="s">
        <v>676</v>
      </c>
      <c r="S298" s="2271" t="s">
        <v>676</v>
      </c>
      <c r="T298" s="2271" t="s">
        <v>676</v>
      </c>
    </row>
    <row r="299" spans="1:20" ht="90">
      <c r="A299" s="2265"/>
      <c r="B299" s="2268">
        <v>3</v>
      </c>
      <c r="C299" s="2882" t="s">
        <v>2832</v>
      </c>
      <c r="D299" s="2883"/>
      <c r="E299" s="2883"/>
      <c r="F299" s="2884"/>
      <c r="G299" s="2882" t="s">
        <v>2833</v>
      </c>
      <c r="H299" s="2884"/>
      <c r="I299" s="2882" t="s">
        <v>2762</v>
      </c>
      <c r="J299" s="2884"/>
      <c r="K299" s="2268" t="s">
        <v>2763</v>
      </c>
      <c r="L299" s="2268" t="s">
        <v>2764</v>
      </c>
      <c r="M299" s="2268" t="s">
        <v>2776</v>
      </c>
      <c r="N299" s="2269">
        <v>800000</v>
      </c>
      <c r="O299" s="2270" t="s">
        <v>2766</v>
      </c>
      <c r="P299" s="2270">
        <v>800000</v>
      </c>
      <c r="Q299" s="2268" t="s">
        <v>688</v>
      </c>
      <c r="R299" s="2268" t="s">
        <v>2767</v>
      </c>
      <c r="S299" s="2268" t="s">
        <v>2768</v>
      </c>
      <c r="T299" s="2268"/>
    </row>
    <row r="300" spans="1:20" ht="15">
      <c r="A300" s="2265"/>
      <c r="B300" s="2271" t="s">
        <v>676</v>
      </c>
      <c r="C300" s="2888" t="s">
        <v>676</v>
      </c>
      <c r="D300" s="2889"/>
      <c r="E300" s="2889"/>
      <c r="F300" s="2890"/>
      <c r="G300" s="2888" t="s">
        <v>676</v>
      </c>
      <c r="H300" s="2890"/>
      <c r="I300" s="2888" t="s">
        <v>676</v>
      </c>
      <c r="J300" s="2890"/>
      <c r="K300" s="2271" t="s">
        <v>676</v>
      </c>
      <c r="L300" s="2271" t="s">
        <v>676</v>
      </c>
      <c r="M300" s="2271" t="s">
        <v>676</v>
      </c>
      <c r="N300" s="2272" t="s">
        <v>676</v>
      </c>
      <c r="O300" s="2270" t="s">
        <v>2769</v>
      </c>
      <c r="P300" s="2270">
        <v>0</v>
      </c>
      <c r="Q300" s="2271" t="s">
        <v>676</v>
      </c>
      <c r="R300" s="2271" t="s">
        <v>676</v>
      </c>
      <c r="S300" s="2271" t="s">
        <v>676</v>
      </c>
      <c r="T300" s="2271" t="s">
        <v>676</v>
      </c>
    </row>
    <row r="301" spans="1:20" ht="15">
      <c r="A301" s="2265"/>
      <c r="B301" s="2271" t="s">
        <v>676</v>
      </c>
      <c r="C301" s="2891" t="s">
        <v>676</v>
      </c>
      <c r="D301" s="2889"/>
      <c r="E301" s="2889"/>
      <c r="F301" s="2890"/>
      <c r="G301" s="2892" t="s">
        <v>676</v>
      </c>
      <c r="H301" s="2889"/>
      <c r="I301" s="2888" t="s">
        <v>676</v>
      </c>
      <c r="J301" s="2890"/>
      <c r="K301" s="2271" t="s">
        <v>676</v>
      </c>
      <c r="L301" s="2271" t="s">
        <v>676</v>
      </c>
      <c r="M301" s="2271" t="s">
        <v>676</v>
      </c>
      <c r="N301" s="2272" t="s">
        <v>676</v>
      </c>
      <c r="O301" s="2270" t="s">
        <v>2770</v>
      </c>
      <c r="P301" s="2270">
        <v>0</v>
      </c>
      <c r="Q301" s="2271" t="s">
        <v>676</v>
      </c>
      <c r="R301" s="2271" t="s">
        <v>676</v>
      </c>
      <c r="S301" s="2271" t="s">
        <v>676</v>
      </c>
      <c r="T301" s="2271" t="s">
        <v>676</v>
      </c>
    </row>
    <row r="302" spans="1:20" ht="90">
      <c r="A302" s="2265"/>
      <c r="B302" s="2268">
        <v>4</v>
      </c>
      <c r="C302" s="2882" t="s">
        <v>2834</v>
      </c>
      <c r="D302" s="2883"/>
      <c r="E302" s="2883"/>
      <c r="F302" s="2884"/>
      <c r="G302" s="2882" t="s">
        <v>1207</v>
      </c>
      <c r="H302" s="2884"/>
      <c r="I302" s="2882" t="s">
        <v>2762</v>
      </c>
      <c r="J302" s="2884"/>
      <c r="K302" s="2268" t="s">
        <v>2763</v>
      </c>
      <c r="L302" s="2268" t="s">
        <v>2775</v>
      </c>
      <c r="M302" s="2268" t="s">
        <v>2776</v>
      </c>
      <c r="N302" s="2269">
        <v>300000</v>
      </c>
      <c r="O302" s="2270" t="s">
        <v>2766</v>
      </c>
      <c r="P302" s="2270">
        <v>300000</v>
      </c>
      <c r="Q302" s="2268" t="s">
        <v>688</v>
      </c>
      <c r="R302" s="2268" t="s">
        <v>2767</v>
      </c>
      <c r="S302" s="2268" t="s">
        <v>2835</v>
      </c>
      <c r="T302" s="2268"/>
    </row>
    <row r="303" spans="1:20" ht="15">
      <c r="A303" s="2265"/>
      <c r="B303" s="2271" t="s">
        <v>676</v>
      </c>
      <c r="C303" s="2888" t="s">
        <v>676</v>
      </c>
      <c r="D303" s="2889"/>
      <c r="E303" s="2889"/>
      <c r="F303" s="2890"/>
      <c r="G303" s="2888" t="s">
        <v>676</v>
      </c>
      <c r="H303" s="2890"/>
      <c r="I303" s="2888" t="s">
        <v>676</v>
      </c>
      <c r="J303" s="2890"/>
      <c r="K303" s="2271" t="s">
        <v>676</v>
      </c>
      <c r="L303" s="2271" t="s">
        <v>676</v>
      </c>
      <c r="M303" s="2271" t="s">
        <v>676</v>
      </c>
      <c r="N303" s="2272" t="s">
        <v>676</v>
      </c>
      <c r="O303" s="2270" t="s">
        <v>2769</v>
      </c>
      <c r="P303" s="2270">
        <v>0</v>
      </c>
      <c r="Q303" s="2271" t="s">
        <v>676</v>
      </c>
      <c r="R303" s="2271" t="s">
        <v>676</v>
      </c>
      <c r="S303" s="2271" t="s">
        <v>676</v>
      </c>
      <c r="T303" s="2271" t="s">
        <v>676</v>
      </c>
    </row>
    <row r="304" spans="1:20" ht="15">
      <c r="A304" s="2265"/>
      <c r="B304" s="2271" t="s">
        <v>676</v>
      </c>
      <c r="C304" s="2891" t="s">
        <v>676</v>
      </c>
      <c r="D304" s="2889"/>
      <c r="E304" s="2889"/>
      <c r="F304" s="2890"/>
      <c r="G304" s="2892" t="s">
        <v>676</v>
      </c>
      <c r="H304" s="2889"/>
      <c r="I304" s="2888" t="s">
        <v>676</v>
      </c>
      <c r="J304" s="2890"/>
      <c r="K304" s="2271" t="s">
        <v>676</v>
      </c>
      <c r="L304" s="2271" t="s">
        <v>676</v>
      </c>
      <c r="M304" s="2271" t="s">
        <v>676</v>
      </c>
      <c r="N304" s="2272" t="s">
        <v>676</v>
      </c>
      <c r="O304" s="2270" t="s">
        <v>2770</v>
      </c>
      <c r="P304" s="2270">
        <v>0</v>
      </c>
      <c r="Q304" s="2271" t="s">
        <v>676</v>
      </c>
      <c r="R304" s="2271" t="s">
        <v>676</v>
      </c>
      <c r="S304" s="2271" t="s">
        <v>676</v>
      </c>
      <c r="T304" s="2271" t="s">
        <v>676</v>
      </c>
    </row>
    <row r="305" spans="1:20" ht="165">
      <c r="A305" s="2265"/>
      <c r="B305" s="2268">
        <v>5</v>
      </c>
      <c r="C305" s="2882" t="s">
        <v>2836</v>
      </c>
      <c r="D305" s="2883"/>
      <c r="E305" s="2883"/>
      <c r="F305" s="2884"/>
      <c r="G305" s="2882" t="s">
        <v>2837</v>
      </c>
      <c r="H305" s="2884"/>
      <c r="I305" s="2882" t="s">
        <v>2762</v>
      </c>
      <c r="J305" s="2884"/>
      <c r="K305" s="2268" t="s">
        <v>2763</v>
      </c>
      <c r="L305" s="2268" t="s">
        <v>2775</v>
      </c>
      <c r="M305" s="2268" t="s">
        <v>2798</v>
      </c>
      <c r="N305" s="2269">
        <v>800000</v>
      </c>
      <c r="O305" s="2270" t="s">
        <v>2766</v>
      </c>
      <c r="P305" s="2270">
        <v>800000</v>
      </c>
      <c r="Q305" s="2268"/>
      <c r="R305" s="2268" t="s">
        <v>2767</v>
      </c>
      <c r="S305" s="2268" t="s">
        <v>2768</v>
      </c>
      <c r="T305" s="2268"/>
    </row>
    <row r="306" spans="1:20" ht="15">
      <c r="A306" s="2265"/>
      <c r="B306" s="2271" t="s">
        <v>676</v>
      </c>
      <c r="C306" s="2888" t="s">
        <v>676</v>
      </c>
      <c r="D306" s="2889"/>
      <c r="E306" s="2889"/>
      <c r="F306" s="2890"/>
      <c r="G306" s="2888" t="s">
        <v>676</v>
      </c>
      <c r="H306" s="2890"/>
      <c r="I306" s="2888" t="s">
        <v>676</v>
      </c>
      <c r="J306" s="2890"/>
      <c r="K306" s="2271" t="s">
        <v>676</v>
      </c>
      <c r="L306" s="2271" t="s">
        <v>676</v>
      </c>
      <c r="M306" s="2271" t="s">
        <v>676</v>
      </c>
      <c r="N306" s="2272" t="s">
        <v>676</v>
      </c>
      <c r="O306" s="2270" t="s">
        <v>2769</v>
      </c>
      <c r="P306" s="2270">
        <v>0</v>
      </c>
      <c r="Q306" s="2271" t="s">
        <v>676</v>
      </c>
      <c r="R306" s="2271" t="s">
        <v>676</v>
      </c>
      <c r="S306" s="2271" t="s">
        <v>676</v>
      </c>
      <c r="T306" s="2271" t="s">
        <v>676</v>
      </c>
    </row>
    <row r="307" spans="1:20" ht="15">
      <c r="A307" s="2265"/>
      <c r="B307" s="2271" t="s">
        <v>676</v>
      </c>
      <c r="C307" s="2891" t="s">
        <v>676</v>
      </c>
      <c r="D307" s="2889"/>
      <c r="E307" s="2889"/>
      <c r="F307" s="2890"/>
      <c r="G307" s="2892" t="s">
        <v>676</v>
      </c>
      <c r="H307" s="2889"/>
      <c r="I307" s="2888" t="s">
        <v>676</v>
      </c>
      <c r="J307" s="2890"/>
      <c r="K307" s="2271" t="s">
        <v>676</v>
      </c>
      <c r="L307" s="2271" t="s">
        <v>676</v>
      </c>
      <c r="M307" s="2271" t="s">
        <v>676</v>
      </c>
      <c r="N307" s="2272" t="s">
        <v>676</v>
      </c>
      <c r="O307" s="2270" t="s">
        <v>2770</v>
      </c>
      <c r="P307" s="2270">
        <v>0</v>
      </c>
      <c r="Q307" s="2271" t="s">
        <v>676</v>
      </c>
      <c r="R307" s="2271" t="s">
        <v>676</v>
      </c>
      <c r="S307" s="2271" t="s">
        <v>676</v>
      </c>
      <c r="T307" s="2271" t="s">
        <v>676</v>
      </c>
    </row>
    <row r="308" spans="1:20" ht="90">
      <c r="A308" s="2265"/>
      <c r="B308" s="2268">
        <v>6</v>
      </c>
      <c r="C308" s="2882" t="s">
        <v>1211</v>
      </c>
      <c r="D308" s="2883"/>
      <c r="E308" s="2883"/>
      <c r="F308" s="2884"/>
      <c r="G308" s="2882" t="s">
        <v>2838</v>
      </c>
      <c r="H308" s="2884"/>
      <c r="I308" s="2882" t="s">
        <v>2762</v>
      </c>
      <c r="J308" s="2884"/>
      <c r="K308" s="2268" t="s">
        <v>2763</v>
      </c>
      <c r="L308" s="2268" t="s">
        <v>2764</v>
      </c>
      <c r="M308" s="2268" t="s">
        <v>2776</v>
      </c>
      <c r="N308" s="2269">
        <v>200000</v>
      </c>
      <c r="O308" s="2270" t="s">
        <v>2766</v>
      </c>
      <c r="P308" s="2270">
        <v>200000</v>
      </c>
      <c r="Q308" s="2268" t="s">
        <v>688</v>
      </c>
      <c r="R308" s="2268" t="s">
        <v>2767</v>
      </c>
      <c r="S308" s="2268" t="s">
        <v>2768</v>
      </c>
      <c r="T308" s="2268"/>
    </row>
    <row r="309" spans="1:20" ht="15">
      <c r="A309" s="2265"/>
      <c r="B309" s="2271" t="s">
        <v>676</v>
      </c>
      <c r="C309" s="2888" t="s">
        <v>676</v>
      </c>
      <c r="D309" s="2889"/>
      <c r="E309" s="2889"/>
      <c r="F309" s="2890"/>
      <c r="G309" s="2888" t="s">
        <v>676</v>
      </c>
      <c r="H309" s="2890"/>
      <c r="I309" s="2888" t="s">
        <v>676</v>
      </c>
      <c r="J309" s="2890"/>
      <c r="K309" s="2271" t="s">
        <v>676</v>
      </c>
      <c r="L309" s="2271" t="s">
        <v>676</v>
      </c>
      <c r="M309" s="2271" t="s">
        <v>676</v>
      </c>
      <c r="N309" s="2272" t="s">
        <v>676</v>
      </c>
      <c r="O309" s="2270" t="s">
        <v>2769</v>
      </c>
      <c r="P309" s="2270">
        <v>0</v>
      </c>
      <c r="Q309" s="2271" t="s">
        <v>676</v>
      </c>
      <c r="R309" s="2271" t="s">
        <v>676</v>
      </c>
      <c r="S309" s="2271" t="s">
        <v>676</v>
      </c>
      <c r="T309" s="2271" t="s">
        <v>676</v>
      </c>
    </row>
    <row r="310" spans="1:20" ht="15">
      <c r="A310" s="2265"/>
      <c r="B310" s="2271" t="s">
        <v>676</v>
      </c>
      <c r="C310" s="2891" t="s">
        <v>676</v>
      </c>
      <c r="D310" s="2889"/>
      <c r="E310" s="2889"/>
      <c r="F310" s="2890"/>
      <c r="G310" s="2892" t="s">
        <v>676</v>
      </c>
      <c r="H310" s="2889"/>
      <c r="I310" s="2888" t="s">
        <v>676</v>
      </c>
      <c r="J310" s="2890"/>
      <c r="K310" s="2271" t="s">
        <v>676</v>
      </c>
      <c r="L310" s="2271" t="s">
        <v>676</v>
      </c>
      <c r="M310" s="2271" t="s">
        <v>676</v>
      </c>
      <c r="N310" s="2272" t="s">
        <v>676</v>
      </c>
      <c r="O310" s="2270" t="s">
        <v>2770</v>
      </c>
      <c r="P310" s="2270">
        <v>0</v>
      </c>
      <c r="Q310" s="2271" t="s">
        <v>676</v>
      </c>
      <c r="R310" s="2271" t="s">
        <v>676</v>
      </c>
      <c r="S310" s="2271" t="s">
        <v>676</v>
      </c>
      <c r="T310" s="2271" t="s">
        <v>676</v>
      </c>
    </row>
    <row r="311" spans="1:20" ht="90">
      <c r="A311" s="2265"/>
      <c r="B311" s="2268">
        <v>7</v>
      </c>
      <c r="C311" s="2882" t="s">
        <v>2839</v>
      </c>
      <c r="D311" s="2883"/>
      <c r="E311" s="2883"/>
      <c r="F311" s="2884"/>
      <c r="G311" s="2882" t="s">
        <v>2840</v>
      </c>
      <c r="H311" s="2884"/>
      <c r="I311" s="2882" t="s">
        <v>2762</v>
      </c>
      <c r="J311" s="2884"/>
      <c r="K311" s="2268" t="s">
        <v>2763</v>
      </c>
      <c r="L311" s="2268" t="s">
        <v>2775</v>
      </c>
      <c r="M311" s="2268" t="s">
        <v>2776</v>
      </c>
      <c r="N311" s="2269">
        <v>800000</v>
      </c>
      <c r="O311" s="2270" t="s">
        <v>2766</v>
      </c>
      <c r="P311" s="2270">
        <v>800000</v>
      </c>
      <c r="Q311" s="2268" t="s">
        <v>688</v>
      </c>
      <c r="R311" s="2268" t="s">
        <v>2767</v>
      </c>
      <c r="S311" s="2268" t="s">
        <v>2768</v>
      </c>
      <c r="T311" s="2268"/>
    </row>
    <row r="312" spans="1:20" ht="15">
      <c r="A312" s="2265"/>
      <c r="B312" s="2271" t="s">
        <v>676</v>
      </c>
      <c r="C312" s="2888" t="s">
        <v>676</v>
      </c>
      <c r="D312" s="2889"/>
      <c r="E312" s="2889"/>
      <c r="F312" s="2890"/>
      <c r="G312" s="2888" t="s">
        <v>676</v>
      </c>
      <c r="H312" s="2890"/>
      <c r="I312" s="2888" t="s">
        <v>676</v>
      </c>
      <c r="J312" s="2890"/>
      <c r="K312" s="2271" t="s">
        <v>676</v>
      </c>
      <c r="L312" s="2271" t="s">
        <v>676</v>
      </c>
      <c r="M312" s="2271" t="s">
        <v>676</v>
      </c>
      <c r="N312" s="2272" t="s">
        <v>676</v>
      </c>
      <c r="O312" s="2270" t="s">
        <v>2769</v>
      </c>
      <c r="P312" s="2270">
        <v>0</v>
      </c>
      <c r="Q312" s="2271" t="s">
        <v>676</v>
      </c>
      <c r="R312" s="2271" t="s">
        <v>676</v>
      </c>
      <c r="S312" s="2271" t="s">
        <v>676</v>
      </c>
      <c r="T312" s="2271" t="s">
        <v>676</v>
      </c>
    </row>
    <row r="313" spans="1:20" ht="15">
      <c r="A313" s="2265"/>
      <c r="B313" s="2271" t="s">
        <v>676</v>
      </c>
      <c r="C313" s="2891" t="s">
        <v>676</v>
      </c>
      <c r="D313" s="2889"/>
      <c r="E313" s="2889"/>
      <c r="F313" s="2890"/>
      <c r="G313" s="2892" t="s">
        <v>676</v>
      </c>
      <c r="H313" s="2889"/>
      <c r="I313" s="2888" t="s">
        <v>676</v>
      </c>
      <c r="J313" s="2890"/>
      <c r="K313" s="2271" t="s">
        <v>676</v>
      </c>
      <c r="L313" s="2271" t="s">
        <v>676</v>
      </c>
      <c r="M313" s="2271" t="s">
        <v>676</v>
      </c>
      <c r="N313" s="2272" t="s">
        <v>676</v>
      </c>
      <c r="O313" s="2270" t="s">
        <v>2770</v>
      </c>
      <c r="P313" s="2270">
        <v>0</v>
      </c>
      <c r="Q313" s="2271" t="s">
        <v>676</v>
      </c>
      <c r="R313" s="2271" t="s">
        <v>676</v>
      </c>
      <c r="S313" s="2271" t="s">
        <v>676</v>
      </c>
      <c r="T313" s="2271" t="s">
        <v>676</v>
      </c>
    </row>
    <row r="314" spans="1:20" ht="90">
      <c r="A314" s="2265"/>
      <c r="B314" s="2268">
        <v>8</v>
      </c>
      <c r="C314" s="2882" t="s">
        <v>2841</v>
      </c>
      <c r="D314" s="2883"/>
      <c r="E314" s="2883"/>
      <c r="F314" s="2884"/>
      <c r="G314" s="2882" t="s">
        <v>2842</v>
      </c>
      <c r="H314" s="2884"/>
      <c r="I314" s="2882" t="s">
        <v>2762</v>
      </c>
      <c r="J314" s="2884"/>
      <c r="K314" s="2268" t="s">
        <v>2763</v>
      </c>
      <c r="L314" s="2268" t="s">
        <v>2775</v>
      </c>
      <c r="M314" s="2268" t="s">
        <v>2776</v>
      </c>
      <c r="N314" s="2269">
        <v>600000</v>
      </c>
      <c r="O314" s="2270" t="s">
        <v>2766</v>
      </c>
      <c r="P314" s="2270">
        <v>600000</v>
      </c>
      <c r="Q314" s="2268" t="s">
        <v>688</v>
      </c>
      <c r="R314" s="2268" t="s">
        <v>2767</v>
      </c>
      <c r="S314" s="2268" t="s">
        <v>2768</v>
      </c>
      <c r="T314" s="2268"/>
    </row>
    <row r="315" spans="1:20" ht="15">
      <c r="A315" s="2265"/>
      <c r="B315" s="2271" t="s">
        <v>676</v>
      </c>
      <c r="C315" s="2888" t="s">
        <v>676</v>
      </c>
      <c r="D315" s="2889"/>
      <c r="E315" s="2889"/>
      <c r="F315" s="2890"/>
      <c r="G315" s="2888" t="s">
        <v>676</v>
      </c>
      <c r="H315" s="2890"/>
      <c r="I315" s="2888" t="s">
        <v>676</v>
      </c>
      <c r="J315" s="2890"/>
      <c r="K315" s="2271" t="s">
        <v>676</v>
      </c>
      <c r="L315" s="2271" t="s">
        <v>676</v>
      </c>
      <c r="M315" s="2271" t="s">
        <v>676</v>
      </c>
      <c r="N315" s="2272" t="s">
        <v>676</v>
      </c>
      <c r="O315" s="2270" t="s">
        <v>2769</v>
      </c>
      <c r="P315" s="2270">
        <v>0</v>
      </c>
      <c r="Q315" s="2271" t="s">
        <v>676</v>
      </c>
      <c r="R315" s="2271" t="s">
        <v>676</v>
      </c>
      <c r="S315" s="2271" t="s">
        <v>676</v>
      </c>
      <c r="T315" s="2271" t="s">
        <v>676</v>
      </c>
    </row>
    <row r="316" spans="1:20" ht="15">
      <c r="A316" s="2265"/>
      <c r="B316" s="2271" t="s">
        <v>676</v>
      </c>
      <c r="C316" s="2891" t="s">
        <v>676</v>
      </c>
      <c r="D316" s="2889"/>
      <c r="E316" s="2889"/>
      <c r="F316" s="2890"/>
      <c r="G316" s="2892" t="s">
        <v>676</v>
      </c>
      <c r="H316" s="2889"/>
      <c r="I316" s="2888" t="s">
        <v>676</v>
      </c>
      <c r="J316" s="2890"/>
      <c r="K316" s="2271" t="s">
        <v>676</v>
      </c>
      <c r="L316" s="2271" t="s">
        <v>676</v>
      </c>
      <c r="M316" s="2271" t="s">
        <v>676</v>
      </c>
      <c r="N316" s="2272" t="s">
        <v>676</v>
      </c>
      <c r="O316" s="2270" t="s">
        <v>2770</v>
      </c>
      <c r="P316" s="2270">
        <v>0</v>
      </c>
      <c r="Q316" s="2271" t="s">
        <v>676</v>
      </c>
      <c r="R316" s="2271" t="s">
        <v>676</v>
      </c>
      <c r="S316" s="2271" t="s">
        <v>676</v>
      </c>
      <c r="T316" s="2271" t="s">
        <v>676</v>
      </c>
    </row>
    <row r="317" spans="1:20" ht="135">
      <c r="A317" s="2265"/>
      <c r="B317" s="2268">
        <v>9</v>
      </c>
      <c r="C317" s="2882" t="s">
        <v>2843</v>
      </c>
      <c r="D317" s="2883"/>
      <c r="E317" s="2883"/>
      <c r="F317" s="2884"/>
      <c r="G317" s="2882" t="s">
        <v>2844</v>
      </c>
      <c r="H317" s="2884"/>
      <c r="I317" s="2882" t="s">
        <v>2762</v>
      </c>
      <c r="J317" s="2884"/>
      <c r="K317" s="2268" t="s">
        <v>2763</v>
      </c>
      <c r="L317" s="2268" t="s">
        <v>2764</v>
      </c>
      <c r="M317" s="2268" t="s">
        <v>2765</v>
      </c>
      <c r="N317" s="2269">
        <v>99000</v>
      </c>
      <c r="O317" s="2270" t="s">
        <v>2766</v>
      </c>
      <c r="P317" s="2270">
        <v>99000</v>
      </c>
      <c r="Q317" s="2268"/>
      <c r="R317" s="2268" t="s">
        <v>2767</v>
      </c>
      <c r="S317" s="2268" t="s">
        <v>2768</v>
      </c>
      <c r="T317" s="2268"/>
    </row>
    <row r="318" spans="1:20" ht="15">
      <c r="A318" s="2265"/>
      <c r="B318" s="2271" t="s">
        <v>676</v>
      </c>
      <c r="C318" s="2888" t="s">
        <v>676</v>
      </c>
      <c r="D318" s="2889"/>
      <c r="E318" s="2889"/>
      <c r="F318" s="2890"/>
      <c r="G318" s="2888" t="s">
        <v>676</v>
      </c>
      <c r="H318" s="2890"/>
      <c r="I318" s="2888" t="s">
        <v>676</v>
      </c>
      <c r="J318" s="2890"/>
      <c r="K318" s="2271" t="s">
        <v>676</v>
      </c>
      <c r="L318" s="2271" t="s">
        <v>676</v>
      </c>
      <c r="M318" s="2271" t="s">
        <v>676</v>
      </c>
      <c r="N318" s="2272" t="s">
        <v>676</v>
      </c>
      <c r="O318" s="2270" t="s">
        <v>2769</v>
      </c>
      <c r="P318" s="2270">
        <v>0</v>
      </c>
      <c r="Q318" s="2271" t="s">
        <v>676</v>
      </c>
      <c r="R318" s="2271" t="s">
        <v>676</v>
      </c>
      <c r="S318" s="2271" t="s">
        <v>676</v>
      </c>
      <c r="T318" s="2271" t="s">
        <v>676</v>
      </c>
    </row>
    <row r="319" spans="1:20" ht="15">
      <c r="A319" s="2265"/>
      <c r="B319" s="2271" t="s">
        <v>676</v>
      </c>
      <c r="C319" s="2891" t="s">
        <v>676</v>
      </c>
      <c r="D319" s="2889"/>
      <c r="E319" s="2889"/>
      <c r="F319" s="2890"/>
      <c r="G319" s="2892" t="s">
        <v>676</v>
      </c>
      <c r="H319" s="2889"/>
      <c r="I319" s="2888" t="s">
        <v>676</v>
      </c>
      <c r="J319" s="2890"/>
      <c r="K319" s="2271" t="s">
        <v>676</v>
      </c>
      <c r="L319" s="2271" t="s">
        <v>676</v>
      </c>
      <c r="M319" s="2271" t="s">
        <v>676</v>
      </c>
      <c r="N319" s="2272" t="s">
        <v>676</v>
      </c>
      <c r="O319" s="2270" t="s">
        <v>2770</v>
      </c>
      <c r="P319" s="2270">
        <v>0</v>
      </c>
      <c r="Q319" s="2271" t="s">
        <v>676</v>
      </c>
      <c r="R319" s="2271" t="s">
        <v>676</v>
      </c>
      <c r="S319" s="2271" t="s">
        <v>676</v>
      </c>
      <c r="T319" s="2271" t="s">
        <v>676</v>
      </c>
    </row>
    <row r="320" spans="1:20" ht="135">
      <c r="A320" s="2265"/>
      <c r="B320" s="2268">
        <v>10</v>
      </c>
      <c r="C320" s="2882" t="s">
        <v>2845</v>
      </c>
      <c r="D320" s="2883"/>
      <c r="E320" s="2883"/>
      <c r="F320" s="2884"/>
      <c r="G320" s="2882" t="s">
        <v>2846</v>
      </c>
      <c r="H320" s="2884"/>
      <c r="I320" s="2882" t="s">
        <v>2762</v>
      </c>
      <c r="J320" s="2884"/>
      <c r="K320" s="2268" t="s">
        <v>2763</v>
      </c>
      <c r="L320" s="2268" t="s">
        <v>2775</v>
      </c>
      <c r="M320" s="2268" t="s">
        <v>2765</v>
      </c>
      <c r="N320" s="2269">
        <v>99000</v>
      </c>
      <c r="O320" s="2270" t="s">
        <v>2766</v>
      </c>
      <c r="P320" s="2270">
        <v>99000</v>
      </c>
      <c r="Q320" s="2268"/>
      <c r="R320" s="2268" t="s">
        <v>2767</v>
      </c>
      <c r="S320" s="2268" t="s">
        <v>2768</v>
      </c>
      <c r="T320" s="2268"/>
    </row>
    <row r="321" spans="1:20" ht="15">
      <c r="A321" s="2265"/>
      <c r="B321" s="2271" t="s">
        <v>676</v>
      </c>
      <c r="C321" s="2888" t="s">
        <v>676</v>
      </c>
      <c r="D321" s="2889"/>
      <c r="E321" s="2889"/>
      <c r="F321" s="2890"/>
      <c r="G321" s="2888" t="s">
        <v>676</v>
      </c>
      <c r="H321" s="2890"/>
      <c r="I321" s="2888" t="s">
        <v>676</v>
      </c>
      <c r="J321" s="2890"/>
      <c r="K321" s="2271" t="s">
        <v>676</v>
      </c>
      <c r="L321" s="2271" t="s">
        <v>676</v>
      </c>
      <c r="M321" s="2271" t="s">
        <v>676</v>
      </c>
      <c r="N321" s="2272" t="s">
        <v>676</v>
      </c>
      <c r="O321" s="2270" t="s">
        <v>2769</v>
      </c>
      <c r="P321" s="2270">
        <v>0</v>
      </c>
      <c r="Q321" s="2271" t="s">
        <v>676</v>
      </c>
      <c r="R321" s="2271" t="s">
        <v>676</v>
      </c>
      <c r="S321" s="2271" t="s">
        <v>676</v>
      </c>
      <c r="T321" s="2271" t="s">
        <v>676</v>
      </c>
    </row>
    <row r="322" spans="1:20" ht="15">
      <c r="A322" s="2265"/>
      <c r="B322" s="2271" t="s">
        <v>676</v>
      </c>
      <c r="C322" s="2891" t="s">
        <v>676</v>
      </c>
      <c r="D322" s="2889"/>
      <c r="E322" s="2889"/>
      <c r="F322" s="2890"/>
      <c r="G322" s="2892" t="s">
        <v>676</v>
      </c>
      <c r="H322" s="2889"/>
      <c r="I322" s="2888" t="s">
        <v>676</v>
      </c>
      <c r="J322" s="2890"/>
      <c r="K322" s="2271" t="s">
        <v>676</v>
      </c>
      <c r="L322" s="2271" t="s">
        <v>676</v>
      </c>
      <c r="M322" s="2271" t="s">
        <v>676</v>
      </c>
      <c r="N322" s="2272" t="s">
        <v>676</v>
      </c>
      <c r="O322" s="2270" t="s">
        <v>2770</v>
      </c>
      <c r="P322" s="2270">
        <v>0</v>
      </c>
      <c r="Q322" s="2271" t="s">
        <v>676</v>
      </c>
      <c r="R322" s="2271" t="s">
        <v>676</v>
      </c>
      <c r="S322" s="2271" t="s">
        <v>676</v>
      </c>
      <c r="T322" s="2271" t="s">
        <v>676</v>
      </c>
    </row>
    <row r="323" spans="1:20" ht="90">
      <c r="A323" s="2265"/>
      <c r="B323" s="2268">
        <v>11</v>
      </c>
      <c r="C323" s="2882" t="s">
        <v>2847</v>
      </c>
      <c r="D323" s="2883"/>
      <c r="E323" s="2883"/>
      <c r="F323" s="2884"/>
      <c r="G323" s="2882" t="s">
        <v>1101</v>
      </c>
      <c r="H323" s="2884"/>
      <c r="I323" s="2882" t="s">
        <v>2762</v>
      </c>
      <c r="J323" s="2884"/>
      <c r="K323" s="2268" t="s">
        <v>2763</v>
      </c>
      <c r="L323" s="2268" t="s">
        <v>2775</v>
      </c>
      <c r="M323" s="2268" t="s">
        <v>2776</v>
      </c>
      <c r="N323" s="2269">
        <v>600000</v>
      </c>
      <c r="O323" s="2270" t="s">
        <v>2766</v>
      </c>
      <c r="P323" s="2270">
        <v>600000</v>
      </c>
      <c r="Q323" s="2268" t="s">
        <v>688</v>
      </c>
      <c r="R323" s="2268" t="s">
        <v>2767</v>
      </c>
      <c r="S323" s="2268" t="s">
        <v>2768</v>
      </c>
      <c r="T323" s="2268"/>
    </row>
    <row r="324" spans="1:20" ht="15">
      <c r="A324" s="2265"/>
      <c r="B324" s="2271" t="s">
        <v>676</v>
      </c>
      <c r="C324" s="2888" t="s">
        <v>676</v>
      </c>
      <c r="D324" s="2889"/>
      <c r="E324" s="2889"/>
      <c r="F324" s="2890"/>
      <c r="G324" s="2888" t="s">
        <v>676</v>
      </c>
      <c r="H324" s="2890"/>
      <c r="I324" s="2888" t="s">
        <v>676</v>
      </c>
      <c r="J324" s="2890"/>
      <c r="K324" s="2271" t="s">
        <v>676</v>
      </c>
      <c r="L324" s="2271" t="s">
        <v>676</v>
      </c>
      <c r="M324" s="2271" t="s">
        <v>676</v>
      </c>
      <c r="N324" s="2272" t="s">
        <v>676</v>
      </c>
      <c r="O324" s="2270" t="s">
        <v>2769</v>
      </c>
      <c r="P324" s="2270">
        <v>0</v>
      </c>
      <c r="Q324" s="2271" t="s">
        <v>676</v>
      </c>
      <c r="R324" s="2271" t="s">
        <v>676</v>
      </c>
      <c r="S324" s="2271" t="s">
        <v>676</v>
      </c>
      <c r="T324" s="2271" t="s">
        <v>676</v>
      </c>
    </row>
    <row r="325" spans="1:20" ht="15">
      <c r="A325" s="2265"/>
      <c r="B325" s="2271" t="s">
        <v>676</v>
      </c>
      <c r="C325" s="2891" t="s">
        <v>676</v>
      </c>
      <c r="D325" s="2889"/>
      <c r="E325" s="2889"/>
      <c r="F325" s="2890"/>
      <c r="G325" s="2892" t="s">
        <v>676</v>
      </c>
      <c r="H325" s="2889"/>
      <c r="I325" s="2888" t="s">
        <v>676</v>
      </c>
      <c r="J325" s="2890"/>
      <c r="K325" s="2271" t="s">
        <v>676</v>
      </c>
      <c r="L325" s="2271" t="s">
        <v>676</v>
      </c>
      <c r="M325" s="2271" t="s">
        <v>676</v>
      </c>
      <c r="N325" s="2272" t="s">
        <v>676</v>
      </c>
      <c r="O325" s="2270" t="s">
        <v>2770</v>
      </c>
      <c r="P325" s="2270">
        <v>0</v>
      </c>
      <c r="Q325" s="2271" t="s">
        <v>676</v>
      </c>
      <c r="R325" s="2271" t="s">
        <v>676</v>
      </c>
      <c r="S325" s="2271" t="s">
        <v>676</v>
      </c>
      <c r="T325" s="2271" t="s">
        <v>676</v>
      </c>
    </row>
    <row r="326" spans="1:20" ht="90">
      <c r="A326" s="2265"/>
      <c r="B326" s="2268">
        <v>12</v>
      </c>
      <c r="C326" s="2882" t="s">
        <v>1733</v>
      </c>
      <c r="D326" s="2883"/>
      <c r="E326" s="2883"/>
      <c r="F326" s="2884"/>
      <c r="G326" s="2882" t="s">
        <v>675</v>
      </c>
      <c r="H326" s="2884"/>
      <c r="I326" s="2882" t="s">
        <v>2762</v>
      </c>
      <c r="J326" s="2884"/>
      <c r="K326" s="2268" t="s">
        <v>2763</v>
      </c>
      <c r="L326" s="2268" t="s">
        <v>2775</v>
      </c>
      <c r="M326" s="2268" t="s">
        <v>2776</v>
      </c>
      <c r="N326" s="2269">
        <v>400000</v>
      </c>
      <c r="O326" s="2270" t="s">
        <v>2766</v>
      </c>
      <c r="P326" s="2270">
        <v>400000</v>
      </c>
      <c r="Q326" s="2268" t="s">
        <v>688</v>
      </c>
      <c r="R326" s="2268" t="s">
        <v>2767</v>
      </c>
      <c r="S326" s="2268" t="s">
        <v>2768</v>
      </c>
      <c r="T326" s="2268"/>
    </row>
    <row r="327" spans="1:20" ht="15">
      <c r="A327" s="2265"/>
      <c r="B327" s="2271" t="s">
        <v>676</v>
      </c>
      <c r="C327" s="2888" t="s">
        <v>676</v>
      </c>
      <c r="D327" s="2889"/>
      <c r="E327" s="2889"/>
      <c r="F327" s="2890"/>
      <c r="G327" s="2888" t="s">
        <v>676</v>
      </c>
      <c r="H327" s="2890"/>
      <c r="I327" s="2888" t="s">
        <v>676</v>
      </c>
      <c r="J327" s="2890"/>
      <c r="K327" s="2271" t="s">
        <v>676</v>
      </c>
      <c r="L327" s="2271" t="s">
        <v>676</v>
      </c>
      <c r="M327" s="2271" t="s">
        <v>676</v>
      </c>
      <c r="N327" s="2272" t="s">
        <v>676</v>
      </c>
      <c r="O327" s="2270" t="s">
        <v>2769</v>
      </c>
      <c r="P327" s="2270">
        <v>0</v>
      </c>
      <c r="Q327" s="2271" t="s">
        <v>676</v>
      </c>
      <c r="R327" s="2271" t="s">
        <v>676</v>
      </c>
      <c r="S327" s="2271" t="s">
        <v>676</v>
      </c>
      <c r="T327" s="2271" t="s">
        <v>676</v>
      </c>
    </row>
    <row r="328" spans="1:20" ht="15">
      <c r="A328" s="2265"/>
      <c r="B328" s="2271" t="s">
        <v>676</v>
      </c>
      <c r="C328" s="2891" t="s">
        <v>676</v>
      </c>
      <c r="D328" s="2889"/>
      <c r="E328" s="2889"/>
      <c r="F328" s="2890"/>
      <c r="G328" s="2892" t="s">
        <v>676</v>
      </c>
      <c r="H328" s="2889"/>
      <c r="I328" s="2888" t="s">
        <v>676</v>
      </c>
      <c r="J328" s="2890"/>
      <c r="K328" s="2271" t="s">
        <v>676</v>
      </c>
      <c r="L328" s="2271" t="s">
        <v>676</v>
      </c>
      <c r="M328" s="2271" t="s">
        <v>676</v>
      </c>
      <c r="N328" s="2272" t="s">
        <v>676</v>
      </c>
      <c r="O328" s="2270" t="s">
        <v>2770</v>
      </c>
      <c r="P328" s="2270">
        <v>0</v>
      </c>
      <c r="Q328" s="2271" t="s">
        <v>676</v>
      </c>
      <c r="R328" s="2271" t="s">
        <v>676</v>
      </c>
      <c r="S328" s="2271" t="s">
        <v>676</v>
      </c>
      <c r="T328" s="2271" t="s">
        <v>676</v>
      </c>
    </row>
    <row r="329" spans="1:20" ht="90">
      <c r="A329" s="2265"/>
      <c r="B329" s="2268">
        <v>13</v>
      </c>
      <c r="C329" s="2882" t="s">
        <v>1339</v>
      </c>
      <c r="D329" s="2883"/>
      <c r="E329" s="2883"/>
      <c r="F329" s="2884"/>
      <c r="G329" s="2882" t="s">
        <v>2848</v>
      </c>
      <c r="H329" s="2884"/>
      <c r="I329" s="2882" t="s">
        <v>2762</v>
      </c>
      <c r="J329" s="2884"/>
      <c r="K329" s="2268" t="s">
        <v>2763</v>
      </c>
      <c r="L329" s="2268" t="s">
        <v>2775</v>
      </c>
      <c r="M329" s="2268" t="s">
        <v>2776</v>
      </c>
      <c r="N329" s="2269">
        <v>6635000</v>
      </c>
      <c r="O329" s="2270" t="s">
        <v>2766</v>
      </c>
      <c r="P329" s="2270">
        <v>6635000</v>
      </c>
      <c r="Q329" s="2268" t="s">
        <v>892</v>
      </c>
      <c r="R329" s="2268" t="s">
        <v>2767</v>
      </c>
      <c r="S329" s="2268" t="s">
        <v>2768</v>
      </c>
      <c r="T329" s="2268"/>
    </row>
    <row r="330" spans="1:20" ht="15">
      <c r="A330" s="2265"/>
      <c r="B330" s="2271" t="s">
        <v>676</v>
      </c>
      <c r="C330" s="2888" t="s">
        <v>676</v>
      </c>
      <c r="D330" s="2889"/>
      <c r="E330" s="2889"/>
      <c r="F330" s="2890"/>
      <c r="G330" s="2888" t="s">
        <v>676</v>
      </c>
      <c r="H330" s="2890"/>
      <c r="I330" s="2888" t="s">
        <v>676</v>
      </c>
      <c r="J330" s="2890"/>
      <c r="K330" s="2271" t="s">
        <v>676</v>
      </c>
      <c r="L330" s="2271" t="s">
        <v>676</v>
      </c>
      <c r="M330" s="2271" t="s">
        <v>676</v>
      </c>
      <c r="N330" s="2272" t="s">
        <v>676</v>
      </c>
      <c r="O330" s="2270" t="s">
        <v>2769</v>
      </c>
      <c r="P330" s="2270">
        <v>0</v>
      </c>
      <c r="Q330" s="2271" t="s">
        <v>676</v>
      </c>
      <c r="R330" s="2271" t="s">
        <v>676</v>
      </c>
      <c r="S330" s="2271" t="s">
        <v>676</v>
      </c>
      <c r="T330" s="2271" t="s">
        <v>676</v>
      </c>
    </row>
    <row r="331" spans="1:20" ht="15">
      <c r="A331" s="2265"/>
      <c r="B331" s="2271" t="s">
        <v>676</v>
      </c>
      <c r="C331" s="2891" t="s">
        <v>676</v>
      </c>
      <c r="D331" s="2889"/>
      <c r="E331" s="2889"/>
      <c r="F331" s="2890"/>
      <c r="G331" s="2892" t="s">
        <v>676</v>
      </c>
      <c r="H331" s="2889"/>
      <c r="I331" s="2888" t="s">
        <v>676</v>
      </c>
      <c r="J331" s="2890"/>
      <c r="K331" s="2271" t="s">
        <v>676</v>
      </c>
      <c r="L331" s="2271" t="s">
        <v>676</v>
      </c>
      <c r="M331" s="2271" t="s">
        <v>676</v>
      </c>
      <c r="N331" s="2272" t="s">
        <v>676</v>
      </c>
      <c r="O331" s="2270" t="s">
        <v>2770</v>
      </c>
      <c r="P331" s="2270">
        <v>0</v>
      </c>
      <c r="Q331" s="2271" t="s">
        <v>676</v>
      </c>
      <c r="R331" s="2271" t="s">
        <v>676</v>
      </c>
      <c r="S331" s="2271" t="s">
        <v>676</v>
      </c>
      <c r="T331" s="2271" t="s">
        <v>676</v>
      </c>
    </row>
    <row r="332" spans="1:20" ht="90">
      <c r="A332" s="2265"/>
      <c r="B332" s="2268">
        <v>14</v>
      </c>
      <c r="C332" s="2882" t="s">
        <v>1080</v>
      </c>
      <c r="D332" s="2883"/>
      <c r="E332" s="2883"/>
      <c r="F332" s="2884"/>
      <c r="G332" s="2882" t="s">
        <v>2849</v>
      </c>
      <c r="H332" s="2884"/>
      <c r="I332" s="2882" t="s">
        <v>2762</v>
      </c>
      <c r="J332" s="2884"/>
      <c r="K332" s="2268" t="s">
        <v>2763</v>
      </c>
      <c r="L332" s="2268" t="s">
        <v>2764</v>
      </c>
      <c r="M332" s="2268" t="s">
        <v>2776</v>
      </c>
      <c r="N332" s="2269">
        <v>300000</v>
      </c>
      <c r="O332" s="2270" t="s">
        <v>2766</v>
      </c>
      <c r="P332" s="2270">
        <v>300000</v>
      </c>
      <c r="Q332" s="2268" t="s">
        <v>688</v>
      </c>
      <c r="R332" s="2268" t="s">
        <v>2767</v>
      </c>
      <c r="S332" s="2268" t="s">
        <v>2768</v>
      </c>
      <c r="T332" s="2268"/>
    </row>
    <row r="333" spans="1:20" ht="15">
      <c r="A333" s="2265"/>
      <c r="B333" s="2271" t="s">
        <v>676</v>
      </c>
      <c r="C333" s="2888" t="s">
        <v>676</v>
      </c>
      <c r="D333" s="2889"/>
      <c r="E333" s="2889"/>
      <c r="F333" s="2890"/>
      <c r="G333" s="2888" t="s">
        <v>676</v>
      </c>
      <c r="H333" s="2890"/>
      <c r="I333" s="2888" t="s">
        <v>676</v>
      </c>
      <c r="J333" s="2890"/>
      <c r="K333" s="2271" t="s">
        <v>676</v>
      </c>
      <c r="L333" s="2271" t="s">
        <v>676</v>
      </c>
      <c r="M333" s="2271" t="s">
        <v>676</v>
      </c>
      <c r="N333" s="2272" t="s">
        <v>676</v>
      </c>
      <c r="O333" s="2270" t="s">
        <v>2769</v>
      </c>
      <c r="P333" s="2270">
        <v>0</v>
      </c>
      <c r="Q333" s="2271" t="s">
        <v>676</v>
      </c>
      <c r="R333" s="2271" t="s">
        <v>676</v>
      </c>
      <c r="S333" s="2271" t="s">
        <v>676</v>
      </c>
      <c r="T333" s="2271" t="s">
        <v>676</v>
      </c>
    </row>
    <row r="334" spans="1:20" ht="15">
      <c r="A334" s="2265"/>
      <c r="B334" s="2273" t="s">
        <v>676</v>
      </c>
      <c r="C334" s="2896" t="s">
        <v>676</v>
      </c>
      <c r="D334" s="2942"/>
      <c r="E334" s="2942"/>
      <c r="F334" s="2943"/>
      <c r="G334" s="2899" t="s">
        <v>676</v>
      </c>
      <c r="H334" s="2942"/>
      <c r="I334" s="2900" t="s">
        <v>676</v>
      </c>
      <c r="J334" s="2943"/>
      <c r="K334" s="2273" t="s">
        <v>676</v>
      </c>
      <c r="L334" s="2273" t="s">
        <v>676</v>
      </c>
      <c r="M334" s="2273" t="s">
        <v>676</v>
      </c>
      <c r="N334" s="2274" t="s">
        <v>676</v>
      </c>
      <c r="O334" s="2270" t="s">
        <v>2770</v>
      </c>
      <c r="P334" s="2270">
        <v>0</v>
      </c>
      <c r="Q334" s="2273" t="s">
        <v>676</v>
      </c>
      <c r="R334" s="2273" t="s">
        <v>676</v>
      </c>
      <c r="S334" s="2273" t="s">
        <v>676</v>
      </c>
      <c r="T334" s="2273" t="s">
        <v>676</v>
      </c>
    </row>
    <row r="335" spans="1:20" ht="15">
      <c r="A335" s="2261"/>
      <c r="B335" s="2301" t="s">
        <v>82</v>
      </c>
      <c r="C335" s="2302"/>
      <c r="D335" s="2302"/>
      <c r="E335" s="2302"/>
      <c r="F335" s="2302"/>
      <c r="G335" s="2302"/>
      <c r="H335" s="2302"/>
      <c r="I335" s="2302"/>
      <c r="J335" s="2302"/>
      <c r="K335" s="2302"/>
      <c r="L335" s="2302"/>
      <c r="M335" s="2302"/>
      <c r="N335" s="2277">
        <f>SUM(N293:N334)</f>
        <v>12532000</v>
      </c>
      <c r="O335" s="2277"/>
      <c r="P335" s="2277">
        <f>SUM(P293:P334)</f>
        <v>12532000</v>
      </c>
      <c r="Q335" s="2302"/>
      <c r="R335" s="2302"/>
      <c r="S335" s="2302"/>
      <c r="T335" s="2303"/>
    </row>
    <row r="336" spans="1:20" ht="20.25">
      <c r="A336" s="2298"/>
      <c r="B336" s="2299"/>
      <c r="C336" s="2298"/>
      <c r="D336" s="2298"/>
      <c r="E336" s="2299"/>
      <c r="F336" s="2298"/>
      <c r="G336" s="2298"/>
      <c r="H336" s="2298"/>
      <c r="I336" s="2298"/>
      <c r="J336" s="2285"/>
      <c r="K336" s="2285"/>
      <c r="L336" s="2285"/>
      <c r="M336" s="2300"/>
      <c r="N336" s="2285"/>
      <c r="O336" s="2284" t="s">
        <v>2789</v>
      </c>
      <c r="P336" s="2285"/>
      <c r="Q336" s="2285"/>
      <c r="R336" s="2285"/>
      <c r="S336" s="2285"/>
      <c r="T336" s="2285"/>
    </row>
    <row r="337" spans="1:20" ht="20.25">
      <c r="A337" s="2285"/>
      <c r="B337" s="2285"/>
      <c r="C337" s="2285"/>
      <c r="D337" s="2285"/>
      <c r="E337" s="2285"/>
      <c r="F337" s="2285"/>
      <c r="G337" s="2285"/>
      <c r="H337" s="2285"/>
      <c r="I337" s="2285"/>
      <c r="J337" s="2285"/>
      <c r="K337" s="2285"/>
      <c r="L337" s="2285"/>
      <c r="M337" s="2300"/>
      <c r="N337" s="2285"/>
      <c r="O337" s="2284" t="s">
        <v>2790</v>
      </c>
      <c r="P337" s="2285"/>
      <c r="Q337" s="2285"/>
      <c r="R337" s="2285"/>
      <c r="S337" s="2285"/>
      <c r="T337" s="2285"/>
    </row>
    <row r="338" spans="1:20" ht="23.25">
      <c r="A338" s="2985" t="s">
        <v>2749</v>
      </c>
      <c r="B338" s="2987"/>
      <c r="C338" s="2987"/>
      <c r="D338" s="2987"/>
      <c r="E338" s="2987"/>
      <c r="F338" s="2987"/>
      <c r="G338" s="2987"/>
      <c r="H338" s="2261"/>
      <c r="I338" s="2261"/>
      <c r="J338" s="2261"/>
      <c r="K338" s="2261"/>
      <c r="L338" s="2261"/>
      <c r="M338" s="2262"/>
      <c r="N338" s="2263"/>
      <c r="O338" s="2263"/>
      <c r="P338" s="2263"/>
      <c r="Q338" s="2261"/>
      <c r="R338" s="2261"/>
      <c r="S338" s="2261"/>
      <c r="T338" s="2261"/>
    </row>
    <row r="339" spans="1:20" ht="15">
      <c r="A339" s="2261"/>
      <c r="B339" s="2261"/>
      <c r="C339" s="2261"/>
      <c r="D339" s="2261"/>
      <c r="E339" s="2261"/>
      <c r="F339" s="2261"/>
      <c r="G339" s="2261"/>
      <c r="H339" s="2261"/>
      <c r="I339" s="2261"/>
      <c r="J339" s="2261"/>
      <c r="K339" s="2261"/>
      <c r="L339" s="2261"/>
      <c r="M339" s="2262"/>
      <c r="N339" s="2263"/>
      <c r="O339" s="2263"/>
      <c r="P339" s="2263"/>
      <c r="Q339" s="2261"/>
      <c r="R339" s="2261"/>
      <c r="S339" s="2261"/>
      <c r="T339" s="2261"/>
    </row>
    <row r="340" spans="1:20" ht="15">
      <c r="A340" s="2960" t="s">
        <v>653</v>
      </c>
      <c r="B340" s="2988"/>
      <c r="C340" s="2988"/>
      <c r="D340" s="2261"/>
      <c r="E340" s="2264">
        <v>2020</v>
      </c>
      <c r="F340" s="2261"/>
      <c r="G340" s="2261"/>
      <c r="H340" s="2261"/>
      <c r="I340" s="2261"/>
      <c r="J340" s="2261"/>
      <c r="K340" s="2261"/>
      <c r="L340" s="2261"/>
      <c r="M340" s="2262"/>
      <c r="N340" s="2263"/>
      <c r="O340" s="2263"/>
      <c r="P340" s="2263"/>
      <c r="Q340" s="2261"/>
      <c r="R340" s="2261"/>
      <c r="S340" s="2261"/>
      <c r="T340" s="2261"/>
    </row>
    <row r="341" spans="1:20" ht="15">
      <c r="A341" s="2261"/>
      <c r="B341" s="2261"/>
      <c r="C341" s="2261"/>
      <c r="D341" s="2261"/>
      <c r="E341" s="2261"/>
      <c r="F341" s="2261"/>
      <c r="G341" s="2261"/>
      <c r="H341" s="2261"/>
      <c r="I341" s="2261"/>
      <c r="J341" s="2261"/>
      <c r="K341" s="2261"/>
      <c r="L341" s="2261"/>
      <c r="M341" s="2262"/>
      <c r="N341" s="2263"/>
      <c r="O341" s="2263"/>
      <c r="P341" s="2263"/>
      <c r="Q341" s="2261"/>
      <c r="R341" s="2261"/>
      <c r="S341" s="2261"/>
      <c r="T341" s="2261"/>
    </row>
    <row r="342" spans="1:20" ht="15">
      <c r="A342" s="2960" t="s">
        <v>655</v>
      </c>
      <c r="B342" s="2988"/>
      <c r="C342" s="2988"/>
      <c r="D342" s="2261"/>
      <c r="E342" s="2961" t="s">
        <v>1091</v>
      </c>
      <c r="F342" s="2988"/>
      <c r="G342" s="2988"/>
      <c r="H342" s="2988"/>
      <c r="I342" s="2988"/>
      <c r="J342" s="2261"/>
      <c r="K342" s="2261"/>
      <c r="L342" s="2261"/>
      <c r="M342" s="2262"/>
      <c r="N342" s="2263"/>
      <c r="O342" s="2263"/>
      <c r="P342" s="2263"/>
      <c r="Q342" s="2261"/>
      <c r="R342" s="2261"/>
      <c r="S342" s="2261"/>
      <c r="T342" s="2261"/>
    </row>
    <row r="343" spans="1:20" ht="15">
      <c r="A343" s="2261"/>
      <c r="B343" s="2261"/>
      <c r="C343" s="2261"/>
      <c r="D343" s="2261"/>
      <c r="E343" s="2261"/>
      <c r="F343" s="2261"/>
      <c r="G343" s="2261"/>
      <c r="H343" s="2261"/>
      <c r="I343" s="2261"/>
      <c r="J343" s="2261"/>
      <c r="K343" s="2261"/>
      <c r="L343" s="2261"/>
      <c r="M343" s="2262"/>
      <c r="N343" s="2263"/>
      <c r="O343" s="2263"/>
      <c r="P343" s="2263"/>
      <c r="Q343" s="2261"/>
      <c r="R343" s="2261"/>
      <c r="S343" s="2261"/>
      <c r="T343" s="2261"/>
    </row>
    <row r="344" spans="1:20" ht="126">
      <c r="A344" s="2265"/>
      <c r="B344" s="2266" t="s">
        <v>657</v>
      </c>
      <c r="C344" s="2893" t="s">
        <v>587</v>
      </c>
      <c r="D344" s="2894"/>
      <c r="E344" s="2894"/>
      <c r="F344" s="2895"/>
      <c r="G344" s="2893" t="s">
        <v>2751</v>
      </c>
      <c r="H344" s="2895"/>
      <c r="I344" s="2893" t="s">
        <v>2752</v>
      </c>
      <c r="J344" s="2895"/>
      <c r="K344" s="2266" t="s">
        <v>2753</v>
      </c>
      <c r="L344" s="2266" t="s">
        <v>2754</v>
      </c>
      <c r="M344" s="2266" t="s">
        <v>2755</v>
      </c>
      <c r="N344" s="2267" t="s">
        <v>2756</v>
      </c>
      <c r="O344" s="2267" t="s">
        <v>2757</v>
      </c>
      <c r="P344" s="2267" t="s">
        <v>2758</v>
      </c>
      <c r="Q344" s="2266" t="s">
        <v>623</v>
      </c>
      <c r="R344" s="2266" t="s">
        <v>2759</v>
      </c>
      <c r="S344" s="2266" t="s">
        <v>2760</v>
      </c>
      <c r="T344" s="2266" t="s">
        <v>2761</v>
      </c>
    </row>
    <row r="345" spans="1:20" ht="90">
      <c r="A345" s="2265"/>
      <c r="B345" s="2268">
        <v>1</v>
      </c>
      <c r="C345" s="2882" t="s">
        <v>2850</v>
      </c>
      <c r="D345" s="2883"/>
      <c r="E345" s="2883"/>
      <c r="F345" s="2884"/>
      <c r="G345" s="2882" t="s">
        <v>699</v>
      </c>
      <c r="H345" s="2884"/>
      <c r="I345" s="2882" t="s">
        <v>2762</v>
      </c>
      <c r="J345" s="2884"/>
      <c r="K345" s="2268" t="s">
        <v>2763</v>
      </c>
      <c r="L345" s="2268" t="s">
        <v>2775</v>
      </c>
      <c r="M345" s="2268" t="s">
        <v>2776</v>
      </c>
      <c r="N345" s="2269">
        <v>333333</v>
      </c>
      <c r="O345" s="2270" t="s">
        <v>2766</v>
      </c>
      <c r="P345" s="2270">
        <v>333333</v>
      </c>
      <c r="Q345" s="2268" t="s">
        <v>688</v>
      </c>
      <c r="R345" s="2268" t="s">
        <v>2767</v>
      </c>
      <c r="S345" s="2268" t="s">
        <v>2768</v>
      </c>
      <c r="T345" s="2268"/>
    </row>
    <row r="346" spans="1:20" ht="15">
      <c r="A346" s="2265"/>
      <c r="B346" s="2271" t="s">
        <v>676</v>
      </c>
      <c r="C346" s="2888" t="s">
        <v>676</v>
      </c>
      <c r="D346" s="2889"/>
      <c r="E346" s="2889"/>
      <c r="F346" s="2890"/>
      <c r="G346" s="2888" t="s">
        <v>676</v>
      </c>
      <c r="H346" s="2890"/>
      <c r="I346" s="2888" t="s">
        <v>676</v>
      </c>
      <c r="J346" s="2890"/>
      <c r="K346" s="2271" t="s">
        <v>676</v>
      </c>
      <c r="L346" s="2271" t="s">
        <v>676</v>
      </c>
      <c r="M346" s="2271" t="s">
        <v>676</v>
      </c>
      <c r="N346" s="2272" t="s">
        <v>676</v>
      </c>
      <c r="O346" s="2270" t="s">
        <v>2769</v>
      </c>
      <c r="P346" s="2270">
        <v>0</v>
      </c>
      <c r="Q346" s="2271" t="s">
        <v>676</v>
      </c>
      <c r="R346" s="2271" t="s">
        <v>676</v>
      </c>
      <c r="S346" s="2271" t="s">
        <v>676</v>
      </c>
      <c r="T346" s="2271" t="s">
        <v>676</v>
      </c>
    </row>
    <row r="347" spans="1:20" ht="15">
      <c r="A347" s="2265"/>
      <c r="B347" s="2271" t="s">
        <v>676</v>
      </c>
      <c r="C347" s="2891" t="s">
        <v>676</v>
      </c>
      <c r="D347" s="2889"/>
      <c r="E347" s="2889"/>
      <c r="F347" s="2890"/>
      <c r="G347" s="2892" t="s">
        <v>676</v>
      </c>
      <c r="H347" s="2889"/>
      <c r="I347" s="2888" t="s">
        <v>676</v>
      </c>
      <c r="J347" s="2890"/>
      <c r="K347" s="2271" t="s">
        <v>676</v>
      </c>
      <c r="L347" s="2271" t="s">
        <v>676</v>
      </c>
      <c r="M347" s="2271" t="s">
        <v>676</v>
      </c>
      <c r="N347" s="2272" t="s">
        <v>676</v>
      </c>
      <c r="O347" s="2270" t="s">
        <v>2770</v>
      </c>
      <c r="P347" s="2270">
        <v>0</v>
      </c>
      <c r="Q347" s="2271" t="s">
        <v>676</v>
      </c>
      <c r="R347" s="2271" t="s">
        <v>676</v>
      </c>
      <c r="S347" s="2271" t="s">
        <v>676</v>
      </c>
      <c r="T347" s="2271" t="s">
        <v>676</v>
      </c>
    </row>
    <row r="348" spans="1:20" ht="135">
      <c r="A348" s="2265"/>
      <c r="B348" s="2268">
        <v>2</v>
      </c>
      <c r="C348" s="2882" t="s">
        <v>2851</v>
      </c>
      <c r="D348" s="2883"/>
      <c r="E348" s="2883"/>
      <c r="F348" s="2884"/>
      <c r="G348" s="2882" t="s">
        <v>727</v>
      </c>
      <c r="H348" s="2884"/>
      <c r="I348" s="2882" t="s">
        <v>2762</v>
      </c>
      <c r="J348" s="2884"/>
      <c r="K348" s="2268" t="s">
        <v>2763</v>
      </c>
      <c r="L348" s="2268" t="s">
        <v>2764</v>
      </c>
      <c r="M348" s="2268" t="s">
        <v>2765</v>
      </c>
      <c r="N348" s="2269">
        <v>100000</v>
      </c>
      <c r="O348" s="2270" t="s">
        <v>2766</v>
      </c>
      <c r="P348" s="2270">
        <v>100000</v>
      </c>
      <c r="Q348" s="2268"/>
      <c r="R348" s="2268" t="s">
        <v>2767</v>
      </c>
      <c r="S348" s="2268" t="s">
        <v>2768</v>
      </c>
      <c r="T348" s="2268"/>
    </row>
    <row r="349" spans="1:20" ht="15">
      <c r="A349" s="2265"/>
      <c r="B349" s="2271" t="s">
        <v>676</v>
      </c>
      <c r="C349" s="2888" t="s">
        <v>676</v>
      </c>
      <c r="D349" s="2889"/>
      <c r="E349" s="2889"/>
      <c r="F349" s="2890"/>
      <c r="G349" s="2888" t="s">
        <v>676</v>
      </c>
      <c r="H349" s="2890"/>
      <c r="I349" s="2888" t="s">
        <v>676</v>
      </c>
      <c r="J349" s="2890"/>
      <c r="K349" s="2271" t="s">
        <v>676</v>
      </c>
      <c r="L349" s="2271" t="s">
        <v>676</v>
      </c>
      <c r="M349" s="2271" t="s">
        <v>676</v>
      </c>
      <c r="N349" s="2272" t="s">
        <v>676</v>
      </c>
      <c r="O349" s="2270" t="s">
        <v>2769</v>
      </c>
      <c r="P349" s="2270">
        <v>0</v>
      </c>
      <c r="Q349" s="2271" t="s">
        <v>676</v>
      </c>
      <c r="R349" s="2271" t="s">
        <v>676</v>
      </c>
      <c r="S349" s="2271" t="s">
        <v>676</v>
      </c>
      <c r="T349" s="2271" t="s">
        <v>676</v>
      </c>
    </row>
    <row r="350" spans="1:20" ht="15">
      <c r="A350" s="2265"/>
      <c r="B350" s="2271" t="s">
        <v>676</v>
      </c>
      <c r="C350" s="2891" t="s">
        <v>676</v>
      </c>
      <c r="D350" s="2889"/>
      <c r="E350" s="2889"/>
      <c r="F350" s="2890"/>
      <c r="G350" s="2892" t="s">
        <v>676</v>
      </c>
      <c r="H350" s="2889"/>
      <c r="I350" s="2888" t="s">
        <v>676</v>
      </c>
      <c r="J350" s="2890"/>
      <c r="K350" s="2271" t="s">
        <v>676</v>
      </c>
      <c r="L350" s="2271" t="s">
        <v>676</v>
      </c>
      <c r="M350" s="2271" t="s">
        <v>676</v>
      </c>
      <c r="N350" s="2272" t="s">
        <v>676</v>
      </c>
      <c r="O350" s="2270" t="s">
        <v>2770</v>
      </c>
      <c r="P350" s="2270">
        <v>0</v>
      </c>
      <c r="Q350" s="2271" t="s">
        <v>676</v>
      </c>
      <c r="R350" s="2271" t="s">
        <v>676</v>
      </c>
      <c r="S350" s="2271" t="s">
        <v>676</v>
      </c>
      <c r="T350" s="2271" t="s">
        <v>676</v>
      </c>
    </row>
    <row r="351" spans="1:20" ht="135">
      <c r="A351" s="2265"/>
      <c r="B351" s="2268">
        <v>3</v>
      </c>
      <c r="C351" s="2882" t="s">
        <v>2852</v>
      </c>
      <c r="D351" s="2883"/>
      <c r="E351" s="2883"/>
      <c r="F351" s="2884"/>
      <c r="G351" s="2882" t="s">
        <v>727</v>
      </c>
      <c r="H351" s="2884"/>
      <c r="I351" s="2882" t="s">
        <v>2762</v>
      </c>
      <c r="J351" s="2884"/>
      <c r="K351" s="2268" t="s">
        <v>2763</v>
      </c>
      <c r="L351" s="2268" t="s">
        <v>2764</v>
      </c>
      <c r="M351" s="2268" t="s">
        <v>2765</v>
      </c>
      <c r="N351" s="2269">
        <v>100000</v>
      </c>
      <c r="O351" s="2270" t="s">
        <v>2766</v>
      </c>
      <c r="P351" s="2270">
        <v>100000</v>
      </c>
      <c r="Q351" s="2268"/>
      <c r="R351" s="2268" t="s">
        <v>2767</v>
      </c>
      <c r="S351" s="2268" t="s">
        <v>2768</v>
      </c>
      <c r="T351" s="2268"/>
    </row>
    <row r="352" spans="1:20" ht="15">
      <c r="A352" s="2265"/>
      <c r="B352" s="2271" t="s">
        <v>676</v>
      </c>
      <c r="C352" s="2888" t="s">
        <v>676</v>
      </c>
      <c r="D352" s="2889"/>
      <c r="E352" s="2889"/>
      <c r="F352" s="2890"/>
      <c r="G352" s="2888" t="s">
        <v>676</v>
      </c>
      <c r="H352" s="2890"/>
      <c r="I352" s="2888" t="s">
        <v>676</v>
      </c>
      <c r="J352" s="2890"/>
      <c r="K352" s="2271" t="s">
        <v>676</v>
      </c>
      <c r="L352" s="2271" t="s">
        <v>676</v>
      </c>
      <c r="M352" s="2271" t="s">
        <v>676</v>
      </c>
      <c r="N352" s="2272" t="s">
        <v>676</v>
      </c>
      <c r="O352" s="2270" t="s">
        <v>2769</v>
      </c>
      <c r="P352" s="2270">
        <v>0</v>
      </c>
      <c r="Q352" s="2271" t="s">
        <v>676</v>
      </c>
      <c r="R352" s="2271" t="s">
        <v>676</v>
      </c>
      <c r="S352" s="2271" t="s">
        <v>676</v>
      </c>
      <c r="T352" s="2271" t="s">
        <v>676</v>
      </c>
    </row>
    <row r="353" spans="1:20" ht="15">
      <c r="A353" s="2265"/>
      <c r="B353" s="2271" t="s">
        <v>676</v>
      </c>
      <c r="C353" s="2891" t="s">
        <v>676</v>
      </c>
      <c r="D353" s="2889"/>
      <c r="E353" s="2889"/>
      <c r="F353" s="2890"/>
      <c r="G353" s="2892" t="s">
        <v>676</v>
      </c>
      <c r="H353" s="2889"/>
      <c r="I353" s="2888" t="s">
        <v>676</v>
      </c>
      <c r="J353" s="2890"/>
      <c r="K353" s="2271" t="s">
        <v>676</v>
      </c>
      <c r="L353" s="2271" t="s">
        <v>676</v>
      </c>
      <c r="M353" s="2271" t="s">
        <v>676</v>
      </c>
      <c r="N353" s="2272" t="s">
        <v>676</v>
      </c>
      <c r="O353" s="2270" t="s">
        <v>2770</v>
      </c>
      <c r="P353" s="2270">
        <v>0</v>
      </c>
      <c r="Q353" s="2271" t="s">
        <v>676</v>
      </c>
      <c r="R353" s="2271" t="s">
        <v>676</v>
      </c>
      <c r="S353" s="2271" t="s">
        <v>676</v>
      </c>
      <c r="T353" s="2271" t="s">
        <v>676</v>
      </c>
    </row>
    <row r="354" spans="1:20" ht="90">
      <c r="A354" s="2265"/>
      <c r="B354" s="2268">
        <v>4</v>
      </c>
      <c r="C354" s="2882" t="s">
        <v>2853</v>
      </c>
      <c r="D354" s="2883"/>
      <c r="E354" s="2883"/>
      <c r="F354" s="2884"/>
      <c r="G354" s="2882" t="s">
        <v>2854</v>
      </c>
      <c r="H354" s="2884"/>
      <c r="I354" s="2882" t="s">
        <v>2762</v>
      </c>
      <c r="J354" s="2884"/>
      <c r="K354" s="2268" t="s">
        <v>2763</v>
      </c>
      <c r="L354" s="2268" t="s">
        <v>2775</v>
      </c>
      <c r="M354" s="2268" t="s">
        <v>2776</v>
      </c>
      <c r="N354" s="2269">
        <v>4489510</v>
      </c>
      <c r="O354" s="2270" t="s">
        <v>2766</v>
      </c>
      <c r="P354" s="2270">
        <v>4489510</v>
      </c>
      <c r="Q354" s="2268" t="s">
        <v>892</v>
      </c>
      <c r="R354" s="2268" t="s">
        <v>2799</v>
      </c>
      <c r="S354" s="2268" t="s">
        <v>2768</v>
      </c>
      <c r="T354" s="2268"/>
    </row>
    <row r="355" spans="1:20" ht="15">
      <c r="A355" s="2265"/>
      <c r="B355" s="2271" t="s">
        <v>676</v>
      </c>
      <c r="C355" s="2888" t="s">
        <v>676</v>
      </c>
      <c r="D355" s="2889"/>
      <c r="E355" s="2889"/>
      <c r="F355" s="2890"/>
      <c r="G355" s="2888" t="s">
        <v>676</v>
      </c>
      <c r="H355" s="2890"/>
      <c r="I355" s="2888" t="s">
        <v>676</v>
      </c>
      <c r="J355" s="2890"/>
      <c r="K355" s="2271" t="s">
        <v>676</v>
      </c>
      <c r="L355" s="2271" t="s">
        <v>676</v>
      </c>
      <c r="M355" s="2271" t="s">
        <v>676</v>
      </c>
      <c r="N355" s="2272" t="s">
        <v>676</v>
      </c>
      <c r="O355" s="2270" t="s">
        <v>2769</v>
      </c>
      <c r="P355" s="2270">
        <v>0</v>
      </c>
      <c r="Q355" s="2271" t="s">
        <v>676</v>
      </c>
      <c r="R355" s="2271" t="s">
        <v>676</v>
      </c>
      <c r="S355" s="2271" t="s">
        <v>676</v>
      </c>
      <c r="T355" s="2271" t="s">
        <v>676</v>
      </c>
    </row>
    <row r="356" spans="1:20" ht="15">
      <c r="A356" s="2265"/>
      <c r="B356" s="2271" t="s">
        <v>676</v>
      </c>
      <c r="C356" s="2891" t="s">
        <v>676</v>
      </c>
      <c r="D356" s="2889"/>
      <c r="E356" s="2889"/>
      <c r="F356" s="2890"/>
      <c r="G356" s="2892" t="s">
        <v>676</v>
      </c>
      <c r="H356" s="2889"/>
      <c r="I356" s="2888" t="s">
        <v>676</v>
      </c>
      <c r="J356" s="2890"/>
      <c r="K356" s="2271" t="s">
        <v>676</v>
      </c>
      <c r="L356" s="2271" t="s">
        <v>676</v>
      </c>
      <c r="M356" s="2271" t="s">
        <v>676</v>
      </c>
      <c r="N356" s="2272" t="s">
        <v>676</v>
      </c>
      <c r="O356" s="2270" t="s">
        <v>2770</v>
      </c>
      <c r="P356" s="2270">
        <v>0</v>
      </c>
      <c r="Q356" s="2271" t="s">
        <v>676</v>
      </c>
      <c r="R356" s="2271" t="s">
        <v>676</v>
      </c>
      <c r="S356" s="2271" t="s">
        <v>676</v>
      </c>
      <c r="T356" s="2271" t="s">
        <v>676</v>
      </c>
    </row>
    <row r="357" spans="1:20" ht="135">
      <c r="A357" s="2265"/>
      <c r="B357" s="2268">
        <v>5</v>
      </c>
      <c r="C357" s="2882" t="s">
        <v>1110</v>
      </c>
      <c r="D357" s="2883"/>
      <c r="E357" s="2883"/>
      <c r="F357" s="2884"/>
      <c r="G357" s="2882" t="s">
        <v>2855</v>
      </c>
      <c r="H357" s="2884"/>
      <c r="I357" s="2882" t="s">
        <v>2762</v>
      </c>
      <c r="J357" s="2884"/>
      <c r="K357" s="2268" t="s">
        <v>2763</v>
      </c>
      <c r="L357" s="2268" t="s">
        <v>2775</v>
      </c>
      <c r="M357" s="2268" t="s">
        <v>2765</v>
      </c>
      <c r="N357" s="2269">
        <v>66666</v>
      </c>
      <c r="O357" s="2270" t="s">
        <v>2766</v>
      </c>
      <c r="P357" s="2270">
        <v>66666</v>
      </c>
      <c r="Q357" s="2268"/>
      <c r="R357" s="2268" t="s">
        <v>2767</v>
      </c>
      <c r="S357" s="2268" t="s">
        <v>2768</v>
      </c>
      <c r="T357" s="2268"/>
    </row>
    <row r="358" spans="1:20" ht="15">
      <c r="A358" s="2265"/>
      <c r="B358" s="2271" t="s">
        <v>676</v>
      </c>
      <c r="C358" s="2888" t="s">
        <v>676</v>
      </c>
      <c r="D358" s="2889"/>
      <c r="E358" s="2889"/>
      <c r="F358" s="2890"/>
      <c r="G358" s="2888" t="s">
        <v>676</v>
      </c>
      <c r="H358" s="2890"/>
      <c r="I358" s="2888" t="s">
        <v>676</v>
      </c>
      <c r="J358" s="2890"/>
      <c r="K358" s="2271" t="s">
        <v>676</v>
      </c>
      <c r="L358" s="2271" t="s">
        <v>676</v>
      </c>
      <c r="M358" s="2271" t="s">
        <v>676</v>
      </c>
      <c r="N358" s="2272" t="s">
        <v>676</v>
      </c>
      <c r="O358" s="2270" t="s">
        <v>2769</v>
      </c>
      <c r="P358" s="2270">
        <v>0</v>
      </c>
      <c r="Q358" s="2271" t="s">
        <v>676</v>
      </c>
      <c r="R358" s="2271" t="s">
        <v>676</v>
      </c>
      <c r="S358" s="2271" t="s">
        <v>676</v>
      </c>
      <c r="T358" s="2271" t="s">
        <v>676</v>
      </c>
    </row>
    <row r="359" spans="1:20" ht="15">
      <c r="A359" s="2265"/>
      <c r="B359" s="2271" t="s">
        <v>676</v>
      </c>
      <c r="C359" s="2891" t="s">
        <v>676</v>
      </c>
      <c r="D359" s="2889"/>
      <c r="E359" s="2889"/>
      <c r="F359" s="2890"/>
      <c r="G359" s="2892" t="s">
        <v>676</v>
      </c>
      <c r="H359" s="2889"/>
      <c r="I359" s="2888" t="s">
        <v>676</v>
      </c>
      <c r="J359" s="2890"/>
      <c r="K359" s="2271" t="s">
        <v>676</v>
      </c>
      <c r="L359" s="2271" t="s">
        <v>676</v>
      </c>
      <c r="M359" s="2271" t="s">
        <v>676</v>
      </c>
      <c r="N359" s="2272" t="s">
        <v>676</v>
      </c>
      <c r="O359" s="2270" t="s">
        <v>2770</v>
      </c>
      <c r="P359" s="2270">
        <v>0</v>
      </c>
      <c r="Q359" s="2271" t="s">
        <v>676</v>
      </c>
      <c r="R359" s="2271" t="s">
        <v>676</v>
      </c>
      <c r="S359" s="2271" t="s">
        <v>676</v>
      </c>
      <c r="T359" s="2271" t="s">
        <v>676</v>
      </c>
    </row>
    <row r="360" spans="1:20" ht="135">
      <c r="A360" s="2265"/>
      <c r="B360" s="2268">
        <v>6</v>
      </c>
      <c r="C360" s="2882" t="s">
        <v>2856</v>
      </c>
      <c r="D360" s="2883"/>
      <c r="E360" s="2883"/>
      <c r="F360" s="2884"/>
      <c r="G360" s="2882" t="s">
        <v>727</v>
      </c>
      <c r="H360" s="2884"/>
      <c r="I360" s="2882" t="s">
        <v>2762</v>
      </c>
      <c r="J360" s="2884"/>
      <c r="K360" s="2268" t="s">
        <v>2763</v>
      </c>
      <c r="L360" s="2268" t="s">
        <v>2764</v>
      </c>
      <c r="M360" s="2268" t="s">
        <v>2765</v>
      </c>
      <c r="N360" s="2269">
        <v>100000</v>
      </c>
      <c r="O360" s="2270" t="s">
        <v>2766</v>
      </c>
      <c r="P360" s="2270">
        <v>100000</v>
      </c>
      <c r="Q360" s="2268"/>
      <c r="R360" s="2268" t="s">
        <v>2767</v>
      </c>
      <c r="S360" s="2268" t="s">
        <v>2768</v>
      </c>
      <c r="T360" s="2268"/>
    </row>
    <row r="361" spans="1:20" ht="15">
      <c r="A361" s="2265"/>
      <c r="B361" s="2271" t="s">
        <v>676</v>
      </c>
      <c r="C361" s="2888" t="s">
        <v>676</v>
      </c>
      <c r="D361" s="2889"/>
      <c r="E361" s="2889"/>
      <c r="F361" s="2890"/>
      <c r="G361" s="2888" t="s">
        <v>676</v>
      </c>
      <c r="H361" s="2890"/>
      <c r="I361" s="2888" t="s">
        <v>676</v>
      </c>
      <c r="J361" s="2890"/>
      <c r="K361" s="2271" t="s">
        <v>676</v>
      </c>
      <c r="L361" s="2271" t="s">
        <v>676</v>
      </c>
      <c r="M361" s="2271" t="s">
        <v>676</v>
      </c>
      <c r="N361" s="2272" t="s">
        <v>676</v>
      </c>
      <c r="O361" s="2270" t="s">
        <v>2769</v>
      </c>
      <c r="P361" s="2270">
        <v>0</v>
      </c>
      <c r="Q361" s="2271" t="s">
        <v>676</v>
      </c>
      <c r="R361" s="2271" t="s">
        <v>676</v>
      </c>
      <c r="S361" s="2271" t="s">
        <v>676</v>
      </c>
      <c r="T361" s="2271" t="s">
        <v>676</v>
      </c>
    </row>
    <row r="362" spans="1:20" ht="15">
      <c r="A362" s="2265"/>
      <c r="B362" s="2271" t="s">
        <v>676</v>
      </c>
      <c r="C362" s="2891" t="s">
        <v>676</v>
      </c>
      <c r="D362" s="2889"/>
      <c r="E362" s="2889"/>
      <c r="F362" s="2890"/>
      <c r="G362" s="2892" t="s">
        <v>676</v>
      </c>
      <c r="H362" s="2889"/>
      <c r="I362" s="2888" t="s">
        <v>676</v>
      </c>
      <c r="J362" s="2890"/>
      <c r="K362" s="2271" t="s">
        <v>676</v>
      </c>
      <c r="L362" s="2271" t="s">
        <v>676</v>
      </c>
      <c r="M362" s="2271" t="s">
        <v>676</v>
      </c>
      <c r="N362" s="2272" t="s">
        <v>676</v>
      </c>
      <c r="O362" s="2270" t="s">
        <v>2770</v>
      </c>
      <c r="P362" s="2270">
        <v>0</v>
      </c>
      <c r="Q362" s="2271" t="s">
        <v>676</v>
      </c>
      <c r="R362" s="2271" t="s">
        <v>676</v>
      </c>
      <c r="S362" s="2271" t="s">
        <v>676</v>
      </c>
      <c r="T362" s="2271" t="s">
        <v>676</v>
      </c>
    </row>
    <row r="363" spans="1:20" ht="135">
      <c r="A363" s="2265"/>
      <c r="B363" s="2268">
        <v>7</v>
      </c>
      <c r="C363" s="2882" t="s">
        <v>1146</v>
      </c>
      <c r="D363" s="2883"/>
      <c r="E363" s="2883"/>
      <c r="F363" s="2884"/>
      <c r="G363" s="2882" t="s">
        <v>727</v>
      </c>
      <c r="H363" s="2884"/>
      <c r="I363" s="2882" t="s">
        <v>2762</v>
      </c>
      <c r="J363" s="2884"/>
      <c r="K363" s="2268" t="s">
        <v>2763</v>
      </c>
      <c r="L363" s="2268" t="s">
        <v>2764</v>
      </c>
      <c r="M363" s="2268" t="s">
        <v>2765</v>
      </c>
      <c r="N363" s="2269">
        <v>100000</v>
      </c>
      <c r="O363" s="2270" t="s">
        <v>2766</v>
      </c>
      <c r="P363" s="2270">
        <v>100000</v>
      </c>
      <c r="Q363" s="2268"/>
      <c r="R363" s="2268" t="s">
        <v>2767</v>
      </c>
      <c r="S363" s="2268" t="s">
        <v>2768</v>
      </c>
      <c r="T363" s="2268"/>
    </row>
    <row r="364" spans="1:20" ht="15">
      <c r="A364" s="2265"/>
      <c r="B364" s="2271" t="s">
        <v>676</v>
      </c>
      <c r="C364" s="2888" t="s">
        <v>676</v>
      </c>
      <c r="D364" s="2889"/>
      <c r="E364" s="2889"/>
      <c r="F364" s="2890"/>
      <c r="G364" s="2888" t="s">
        <v>676</v>
      </c>
      <c r="H364" s="2890"/>
      <c r="I364" s="2888" t="s">
        <v>676</v>
      </c>
      <c r="J364" s="2890"/>
      <c r="K364" s="2271" t="s">
        <v>676</v>
      </c>
      <c r="L364" s="2271" t="s">
        <v>676</v>
      </c>
      <c r="M364" s="2271" t="s">
        <v>676</v>
      </c>
      <c r="N364" s="2272" t="s">
        <v>676</v>
      </c>
      <c r="O364" s="2270" t="s">
        <v>2769</v>
      </c>
      <c r="P364" s="2270">
        <v>0</v>
      </c>
      <c r="Q364" s="2271" t="s">
        <v>676</v>
      </c>
      <c r="R364" s="2271" t="s">
        <v>676</v>
      </c>
      <c r="S364" s="2271" t="s">
        <v>676</v>
      </c>
      <c r="T364" s="2271" t="s">
        <v>676</v>
      </c>
    </row>
    <row r="365" spans="1:20" ht="15">
      <c r="A365" s="2265"/>
      <c r="B365" s="2271" t="s">
        <v>676</v>
      </c>
      <c r="C365" s="2891" t="s">
        <v>676</v>
      </c>
      <c r="D365" s="2889"/>
      <c r="E365" s="2889"/>
      <c r="F365" s="2890"/>
      <c r="G365" s="2892" t="s">
        <v>676</v>
      </c>
      <c r="H365" s="2889"/>
      <c r="I365" s="2888" t="s">
        <v>676</v>
      </c>
      <c r="J365" s="2890"/>
      <c r="K365" s="2271" t="s">
        <v>676</v>
      </c>
      <c r="L365" s="2271" t="s">
        <v>676</v>
      </c>
      <c r="M365" s="2271" t="s">
        <v>676</v>
      </c>
      <c r="N365" s="2272" t="s">
        <v>676</v>
      </c>
      <c r="O365" s="2270" t="s">
        <v>2770</v>
      </c>
      <c r="P365" s="2270">
        <v>0</v>
      </c>
      <c r="Q365" s="2271" t="s">
        <v>676</v>
      </c>
      <c r="R365" s="2271" t="s">
        <v>676</v>
      </c>
      <c r="S365" s="2271" t="s">
        <v>676</v>
      </c>
      <c r="T365" s="2271" t="s">
        <v>676</v>
      </c>
    </row>
    <row r="366" spans="1:20" ht="135">
      <c r="A366" s="2265"/>
      <c r="B366" s="2268">
        <v>8</v>
      </c>
      <c r="C366" s="2882" t="s">
        <v>2857</v>
      </c>
      <c r="D366" s="2883"/>
      <c r="E366" s="2883"/>
      <c r="F366" s="2884"/>
      <c r="G366" s="2882" t="s">
        <v>1167</v>
      </c>
      <c r="H366" s="2884"/>
      <c r="I366" s="2882" t="s">
        <v>2762</v>
      </c>
      <c r="J366" s="2884"/>
      <c r="K366" s="2268" t="s">
        <v>2763</v>
      </c>
      <c r="L366" s="2268" t="s">
        <v>2764</v>
      </c>
      <c r="M366" s="2268" t="s">
        <v>2765</v>
      </c>
      <c r="N366" s="2269">
        <v>100000</v>
      </c>
      <c r="O366" s="2270" t="s">
        <v>2766</v>
      </c>
      <c r="P366" s="2270">
        <v>100000</v>
      </c>
      <c r="Q366" s="2268"/>
      <c r="R366" s="2268" t="s">
        <v>2767</v>
      </c>
      <c r="S366" s="2268" t="s">
        <v>2768</v>
      </c>
      <c r="T366" s="2268"/>
    </row>
    <row r="367" spans="1:20" ht="15">
      <c r="A367" s="2265"/>
      <c r="B367" s="2271" t="s">
        <v>676</v>
      </c>
      <c r="C367" s="2888" t="s">
        <v>676</v>
      </c>
      <c r="D367" s="2889"/>
      <c r="E367" s="2889"/>
      <c r="F367" s="2890"/>
      <c r="G367" s="2888" t="s">
        <v>676</v>
      </c>
      <c r="H367" s="2890"/>
      <c r="I367" s="2888" t="s">
        <v>676</v>
      </c>
      <c r="J367" s="2890"/>
      <c r="K367" s="2271" t="s">
        <v>676</v>
      </c>
      <c r="L367" s="2271" t="s">
        <v>676</v>
      </c>
      <c r="M367" s="2271" t="s">
        <v>676</v>
      </c>
      <c r="N367" s="2272" t="s">
        <v>676</v>
      </c>
      <c r="O367" s="2270" t="s">
        <v>2769</v>
      </c>
      <c r="P367" s="2270">
        <v>0</v>
      </c>
      <c r="Q367" s="2271" t="s">
        <v>676</v>
      </c>
      <c r="R367" s="2271" t="s">
        <v>676</v>
      </c>
      <c r="S367" s="2271" t="s">
        <v>676</v>
      </c>
      <c r="T367" s="2271" t="s">
        <v>676</v>
      </c>
    </row>
    <row r="368" spans="1:20" ht="15">
      <c r="A368" s="2265"/>
      <c r="B368" s="2271" t="s">
        <v>676</v>
      </c>
      <c r="C368" s="2891" t="s">
        <v>676</v>
      </c>
      <c r="D368" s="2889"/>
      <c r="E368" s="2889"/>
      <c r="F368" s="2890"/>
      <c r="G368" s="2892" t="s">
        <v>676</v>
      </c>
      <c r="H368" s="2889"/>
      <c r="I368" s="2888" t="s">
        <v>676</v>
      </c>
      <c r="J368" s="2890"/>
      <c r="K368" s="2271" t="s">
        <v>676</v>
      </c>
      <c r="L368" s="2271" t="s">
        <v>676</v>
      </c>
      <c r="M368" s="2271" t="s">
        <v>676</v>
      </c>
      <c r="N368" s="2272" t="s">
        <v>676</v>
      </c>
      <c r="O368" s="2270" t="s">
        <v>2770</v>
      </c>
      <c r="P368" s="2270">
        <v>0</v>
      </c>
      <c r="Q368" s="2271" t="s">
        <v>676</v>
      </c>
      <c r="R368" s="2271" t="s">
        <v>676</v>
      </c>
      <c r="S368" s="2271" t="s">
        <v>676</v>
      </c>
      <c r="T368" s="2271" t="s">
        <v>676</v>
      </c>
    </row>
    <row r="369" spans="1:20" ht="135">
      <c r="A369" s="2265"/>
      <c r="B369" s="2268">
        <v>9</v>
      </c>
      <c r="C369" s="2882" t="s">
        <v>1100</v>
      </c>
      <c r="D369" s="2883"/>
      <c r="E369" s="2883"/>
      <c r="F369" s="2884"/>
      <c r="G369" s="2882" t="s">
        <v>1101</v>
      </c>
      <c r="H369" s="2884"/>
      <c r="I369" s="2882" t="s">
        <v>2762</v>
      </c>
      <c r="J369" s="2884"/>
      <c r="K369" s="2268" t="s">
        <v>2763</v>
      </c>
      <c r="L369" s="2268" t="s">
        <v>2775</v>
      </c>
      <c r="M369" s="2268" t="s">
        <v>2765</v>
      </c>
      <c r="N369" s="2269">
        <v>100000</v>
      </c>
      <c r="O369" s="2270" t="s">
        <v>2766</v>
      </c>
      <c r="P369" s="2270">
        <v>100000</v>
      </c>
      <c r="Q369" s="2268"/>
      <c r="R369" s="2268" t="s">
        <v>2767</v>
      </c>
      <c r="S369" s="2268" t="s">
        <v>2768</v>
      </c>
      <c r="T369" s="2268"/>
    </row>
    <row r="370" spans="1:20" ht="15">
      <c r="A370" s="2265"/>
      <c r="B370" s="2271" t="s">
        <v>676</v>
      </c>
      <c r="C370" s="2888" t="s">
        <v>676</v>
      </c>
      <c r="D370" s="2889"/>
      <c r="E370" s="2889"/>
      <c r="F370" s="2890"/>
      <c r="G370" s="2888" t="s">
        <v>676</v>
      </c>
      <c r="H370" s="2890"/>
      <c r="I370" s="2888" t="s">
        <v>676</v>
      </c>
      <c r="J370" s="2890"/>
      <c r="K370" s="2271" t="s">
        <v>676</v>
      </c>
      <c r="L370" s="2271" t="s">
        <v>676</v>
      </c>
      <c r="M370" s="2271" t="s">
        <v>676</v>
      </c>
      <c r="N370" s="2272" t="s">
        <v>676</v>
      </c>
      <c r="O370" s="2270" t="s">
        <v>2769</v>
      </c>
      <c r="P370" s="2270">
        <v>0</v>
      </c>
      <c r="Q370" s="2271" t="s">
        <v>676</v>
      </c>
      <c r="R370" s="2271" t="s">
        <v>676</v>
      </c>
      <c r="S370" s="2271" t="s">
        <v>676</v>
      </c>
      <c r="T370" s="2271" t="s">
        <v>676</v>
      </c>
    </row>
    <row r="371" spans="1:20" ht="15">
      <c r="A371" s="2265"/>
      <c r="B371" s="2271" t="s">
        <v>676</v>
      </c>
      <c r="C371" s="2891" t="s">
        <v>676</v>
      </c>
      <c r="D371" s="2889"/>
      <c r="E371" s="2889"/>
      <c r="F371" s="2890"/>
      <c r="G371" s="2892" t="s">
        <v>676</v>
      </c>
      <c r="H371" s="2889"/>
      <c r="I371" s="2888" t="s">
        <v>676</v>
      </c>
      <c r="J371" s="2890"/>
      <c r="K371" s="2271" t="s">
        <v>676</v>
      </c>
      <c r="L371" s="2271" t="s">
        <v>676</v>
      </c>
      <c r="M371" s="2271" t="s">
        <v>676</v>
      </c>
      <c r="N371" s="2272" t="s">
        <v>676</v>
      </c>
      <c r="O371" s="2270" t="s">
        <v>2770</v>
      </c>
      <c r="P371" s="2270">
        <v>0</v>
      </c>
      <c r="Q371" s="2271" t="s">
        <v>676</v>
      </c>
      <c r="R371" s="2271" t="s">
        <v>676</v>
      </c>
      <c r="S371" s="2271" t="s">
        <v>676</v>
      </c>
      <c r="T371" s="2271" t="s">
        <v>676</v>
      </c>
    </row>
    <row r="372" spans="1:20" ht="135">
      <c r="A372" s="2265"/>
      <c r="B372" s="2268">
        <v>10</v>
      </c>
      <c r="C372" s="2882" t="s">
        <v>1080</v>
      </c>
      <c r="D372" s="2883"/>
      <c r="E372" s="2883"/>
      <c r="F372" s="2884"/>
      <c r="G372" s="2882" t="s">
        <v>2858</v>
      </c>
      <c r="H372" s="2884"/>
      <c r="I372" s="2882" t="s">
        <v>2762</v>
      </c>
      <c r="J372" s="2884"/>
      <c r="K372" s="2268" t="s">
        <v>2763</v>
      </c>
      <c r="L372" s="2268" t="s">
        <v>2764</v>
      </c>
      <c r="M372" s="2268" t="s">
        <v>2765</v>
      </c>
      <c r="N372" s="2269">
        <v>100000</v>
      </c>
      <c r="O372" s="2270" t="s">
        <v>2766</v>
      </c>
      <c r="P372" s="2270">
        <v>100000</v>
      </c>
      <c r="Q372" s="2268"/>
      <c r="R372" s="2268" t="s">
        <v>2767</v>
      </c>
      <c r="S372" s="2268" t="s">
        <v>2768</v>
      </c>
      <c r="T372" s="2268"/>
    </row>
    <row r="373" spans="1:20" ht="15">
      <c r="A373" s="2265"/>
      <c r="B373" s="2271" t="s">
        <v>676</v>
      </c>
      <c r="C373" s="2888" t="s">
        <v>676</v>
      </c>
      <c r="D373" s="2889"/>
      <c r="E373" s="2889"/>
      <c r="F373" s="2890"/>
      <c r="G373" s="2888" t="s">
        <v>676</v>
      </c>
      <c r="H373" s="2890"/>
      <c r="I373" s="2888" t="s">
        <v>676</v>
      </c>
      <c r="J373" s="2890"/>
      <c r="K373" s="2271" t="s">
        <v>676</v>
      </c>
      <c r="L373" s="2271" t="s">
        <v>676</v>
      </c>
      <c r="M373" s="2271" t="s">
        <v>676</v>
      </c>
      <c r="N373" s="2272" t="s">
        <v>676</v>
      </c>
      <c r="O373" s="2270" t="s">
        <v>2769</v>
      </c>
      <c r="P373" s="2270">
        <v>0</v>
      </c>
      <c r="Q373" s="2271" t="s">
        <v>676</v>
      </c>
      <c r="R373" s="2271" t="s">
        <v>676</v>
      </c>
      <c r="S373" s="2271" t="s">
        <v>676</v>
      </c>
      <c r="T373" s="2271" t="s">
        <v>676</v>
      </c>
    </row>
    <row r="374" spans="1:20" ht="15">
      <c r="A374" s="2265"/>
      <c r="B374" s="2271" t="s">
        <v>676</v>
      </c>
      <c r="C374" s="2891" t="s">
        <v>676</v>
      </c>
      <c r="D374" s="2889"/>
      <c r="E374" s="2889"/>
      <c r="F374" s="2890"/>
      <c r="G374" s="2892" t="s">
        <v>676</v>
      </c>
      <c r="H374" s="2889"/>
      <c r="I374" s="2888" t="s">
        <v>676</v>
      </c>
      <c r="J374" s="2890"/>
      <c r="K374" s="2271" t="s">
        <v>676</v>
      </c>
      <c r="L374" s="2271" t="s">
        <v>676</v>
      </c>
      <c r="M374" s="2271" t="s">
        <v>676</v>
      </c>
      <c r="N374" s="2272" t="s">
        <v>676</v>
      </c>
      <c r="O374" s="2270" t="s">
        <v>2770</v>
      </c>
      <c r="P374" s="2270">
        <v>0</v>
      </c>
      <c r="Q374" s="2271" t="s">
        <v>676</v>
      </c>
      <c r="R374" s="2271" t="s">
        <v>676</v>
      </c>
      <c r="S374" s="2271" t="s">
        <v>676</v>
      </c>
      <c r="T374" s="2271" t="s">
        <v>676</v>
      </c>
    </row>
    <row r="375" spans="1:20" ht="135">
      <c r="A375" s="2265"/>
      <c r="B375" s="2268">
        <v>11</v>
      </c>
      <c r="C375" s="2882" t="s">
        <v>2859</v>
      </c>
      <c r="D375" s="2883"/>
      <c r="E375" s="2883"/>
      <c r="F375" s="2884"/>
      <c r="G375" s="2882" t="s">
        <v>1162</v>
      </c>
      <c r="H375" s="2884"/>
      <c r="I375" s="2882" t="s">
        <v>2762</v>
      </c>
      <c r="J375" s="2884"/>
      <c r="K375" s="2268" t="s">
        <v>2763</v>
      </c>
      <c r="L375" s="2268" t="s">
        <v>2764</v>
      </c>
      <c r="M375" s="2268" t="s">
        <v>2765</v>
      </c>
      <c r="N375" s="2269">
        <v>100000</v>
      </c>
      <c r="O375" s="2270" t="s">
        <v>2766</v>
      </c>
      <c r="P375" s="2270">
        <v>100000</v>
      </c>
      <c r="Q375" s="2268"/>
      <c r="R375" s="2268" t="s">
        <v>2767</v>
      </c>
      <c r="S375" s="2268" t="s">
        <v>2768</v>
      </c>
      <c r="T375" s="2268"/>
    </row>
    <row r="376" spans="1:20" ht="15">
      <c r="A376" s="2265"/>
      <c r="B376" s="2271" t="s">
        <v>676</v>
      </c>
      <c r="C376" s="2888" t="s">
        <v>676</v>
      </c>
      <c r="D376" s="2889"/>
      <c r="E376" s="2889"/>
      <c r="F376" s="2890"/>
      <c r="G376" s="2888" t="s">
        <v>676</v>
      </c>
      <c r="H376" s="2890"/>
      <c r="I376" s="2888" t="s">
        <v>676</v>
      </c>
      <c r="J376" s="2890"/>
      <c r="K376" s="2271" t="s">
        <v>676</v>
      </c>
      <c r="L376" s="2271" t="s">
        <v>676</v>
      </c>
      <c r="M376" s="2271" t="s">
        <v>676</v>
      </c>
      <c r="N376" s="2272" t="s">
        <v>676</v>
      </c>
      <c r="O376" s="2270" t="s">
        <v>2769</v>
      </c>
      <c r="P376" s="2270">
        <v>0</v>
      </c>
      <c r="Q376" s="2271" t="s">
        <v>676</v>
      </c>
      <c r="R376" s="2271" t="s">
        <v>676</v>
      </c>
      <c r="S376" s="2271" t="s">
        <v>676</v>
      </c>
      <c r="T376" s="2271" t="s">
        <v>676</v>
      </c>
    </row>
    <row r="377" spans="1:20" ht="15">
      <c r="A377" s="2265"/>
      <c r="B377" s="2271" t="s">
        <v>676</v>
      </c>
      <c r="C377" s="2891" t="s">
        <v>676</v>
      </c>
      <c r="D377" s="2889"/>
      <c r="E377" s="2889"/>
      <c r="F377" s="2890"/>
      <c r="G377" s="2892" t="s">
        <v>676</v>
      </c>
      <c r="H377" s="2889"/>
      <c r="I377" s="2888" t="s">
        <v>676</v>
      </c>
      <c r="J377" s="2890"/>
      <c r="K377" s="2271" t="s">
        <v>676</v>
      </c>
      <c r="L377" s="2271" t="s">
        <v>676</v>
      </c>
      <c r="M377" s="2271" t="s">
        <v>676</v>
      </c>
      <c r="N377" s="2272" t="s">
        <v>676</v>
      </c>
      <c r="O377" s="2270" t="s">
        <v>2770</v>
      </c>
      <c r="P377" s="2270">
        <v>0</v>
      </c>
      <c r="Q377" s="2271" t="s">
        <v>676</v>
      </c>
      <c r="R377" s="2271" t="s">
        <v>676</v>
      </c>
      <c r="S377" s="2271" t="s">
        <v>676</v>
      </c>
      <c r="T377" s="2271" t="s">
        <v>676</v>
      </c>
    </row>
    <row r="378" spans="1:20" ht="90">
      <c r="A378" s="2265"/>
      <c r="B378" s="2268">
        <v>12</v>
      </c>
      <c r="C378" s="2882" t="s">
        <v>1105</v>
      </c>
      <c r="D378" s="2883"/>
      <c r="E378" s="2883"/>
      <c r="F378" s="2884"/>
      <c r="G378" s="2882" t="s">
        <v>1106</v>
      </c>
      <c r="H378" s="2884"/>
      <c r="I378" s="2882" t="s">
        <v>2762</v>
      </c>
      <c r="J378" s="2884"/>
      <c r="K378" s="2268" t="s">
        <v>2763</v>
      </c>
      <c r="L378" s="2268" t="s">
        <v>2775</v>
      </c>
      <c r="M378" s="2268" t="s">
        <v>2776</v>
      </c>
      <c r="N378" s="2269">
        <v>250000</v>
      </c>
      <c r="O378" s="2270" t="s">
        <v>2766</v>
      </c>
      <c r="P378" s="2270">
        <v>250000</v>
      </c>
      <c r="Q378" s="2268" t="s">
        <v>688</v>
      </c>
      <c r="R378" s="2268" t="s">
        <v>2767</v>
      </c>
      <c r="S378" s="2268" t="s">
        <v>2768</v>
      </c>
      <c r="T378" s="2268"/>
    </row>
    <row r="379" spans="1:20" ht="15">
      <c r="A379" s="2265"/>
      <c r="B379" s="2271" t="s">
        <v>676</v>
      </c>
      <c r="C379" s="2888" t="s">
        <v>676</v>
      </c>
      <c r="D379" s="2889"/>
      <c r="E379" s="2889"/>
      <c r="F379" s="2890"/>
      <c r="G379" s="2888" t="s">
        <v>676</v>
      </c>
      <c r="H379" s="2890"/>
      <c r="I379" s="2888" t="s">
        <v>676</v>
      </c>
      <c r="J379" s="2890"/>
      <c r="K379" s="2271" t="s">
        <v>676</v>
      </c>
      <c r="L379" s="2271" t="s">
        <v>676</v>
      </c>
      <c r="M379" s="2271" t="s">
        <v>676</v>
      </c>
      <c r="N379" s="2272" t="s">
        <v>676</v>
      </c>
      <c r="O379" s="2270" t="s">
        <v>2769</v>
      </c>
      <c r="P379" s="2270">
        <v>0</v>
      </c>
      <c r="Q379" s="2271" t="s">
        <v>676</v>
      </c>
      <c r="R379" s="2271" t="s">
        <v>676</v>
      </c>
      <c r="S379" s="2271" t="s">
        <v>676</v>
      </c>
      <c r="T379" s="2271" t="s">
        <v>676</v>
      </c>
    </row>
    <row r="380" spans="1:20" ht="15">
      <c r="A380" s="2265"/>
      <c r="B380" s="2271" t="s">
        <v>676</v>
      </c>
      <c r="C380" s="2891" t="s">
        <v>676</v>
      </c>
      <c r="D380" s="2889"/>
      <c r="E380" s="2889"/>
      <c r="F380" s="2890"/>
      <c r="G380" s="2892" t="s">
        <v>676</v>
      </c>
      <c r="H380" s="2889"/>
      <c r="I380" s="2888" t="s">
        <v>676</v>
      </c>
      <c r="J380" s="2890"/>
      <c r="K380" s="2271" t="s">
        <v>676</v>
      </c>
      <c r="L380" s="2271" t="s">
        <v>676</v>
      </c>
      <c r="M380" s="2271" t="s">
        <v>676</v>
      </c>
      <c r="N380" s="2272" t="s">
        <v>676</v>
      </c>
      <c r="O380" s="2270" t="s">
        <v>2770</v>
      </c>
      <c r="P380" s="2270">
        <v>0</v>
      </c>
      <c r="Q380" s="2271" t="s">
        <v>676</v>
      </c>
      <c r="R380" s="2271" t="s">
        <v>676</v>
      </c>
      <c r="S380" s="2271" t="s">
        <v>676</v>
      </c>
      <c r="T380" s="2271" t="s">
        <v>676</v>
      </c>
    </row>
    <row r="381" spans="1:20" ht="135">
      <c r="A381" s="2265"/>
      <c r="B381" s="2268">
        <v>13</v>
      </c>
      <c r="C381" s="2882" t="s">
        <v>1900</v>
      </c>
      <c r="D381" s="2883"/>
      <c r="E381" s="2883"/>
      <c r="F381" s="2884"/>
      <c r="G381" s="2882" t="s">
        <v>1475</v>
      </c>
      <c r="H381" s="2884"/>
      <c r="I381" s="2882" t="s">
        <v>2762</v>
      </c>
      <c r="J381" s="2884"/>
      <c r="K381" s="2268" t="s">
        <v>2763</v>
      </c>
      <c r="L381" s="2268" t="s">
        <v>2775</v>
      </c>
      <c r="M381" s="2268" t="s">
        <v>2765</v>
      </c>
      <c r="N381" s="2269">
        <v>100000</v>
      </c>
      <c r="O381" s="2270" t="s">
        <v>2766</v>
      </c>
      <c r="P381" s="2270">
        <v>100000</v>
      </c>
      <c r="Q381" s="2268"/>
      <c r="R381" s="2268" t="s">
        <v>2767</v>
      </c>
      <c r="S381" s="2268" t="s">
        <v>2768</v>
      </c>
      <c r="T381" s="2268"/>
    </row>
    <row r="382" spans="1:20" ht="15">
      <c r="A382" s="2265"/>
      <c r="B382" s="2271" t="s">
        <v>676</v>
      </c>
      <c r="C382" s="2888" t="s">
        <v>676</v>
      </c>
      <c r="D382" s="2889"/>
      <c r="E382" s="2889"/>
      <c r="F382" s="2890"/>
      <c r="G382" s="2888" t="s">
        <v>676</v>
      </c>
      <c r="H382" s="2890"/>
      <c r="I382" s="2888" t="s">
        <v>676</v>
      </c>
      <c r="J382" s="2890"/>
      <c r="K382" s="2271" t="s">
        <v>676</v>
      </c>
      <c r="L382" s="2271" t="s">
        <v>676</v>
      </c>
      <c r="M382" s="2271" t="s">
        <v>676</v>
      </c>
      <c r="N382" s="2272" t="s">
        <v>676</v>
      </c>
      <c r="O382" s="2270" t="s">
        <v>2769</v>
      </c>
      <c r="P382" s="2270">
        <v>0</v>
      </c>
      <c r="Q382" s="2271" t="s">
        <v>676</v>
      </c>
      <c r="R382" s="2271" t="s">
        <v>676</v>
      </c>
      <c r="S382" s="2271" t="s">
        <v>676</v>
      </c>
      <c r="T382" s="2271" t="s">
        <v>676</v>
      </c>
    </row>
    <row r="383" spans="1:20" ht="15">
      <c r="A383" s="2265"/>
      <c r="B383" s="2271" t="s">
        <v>676</v>
      </c>
      <c r="C383" s="2891" t="s">
        <v>676</v>
      </c>
      <c r="D383" s="2889"/>
      <c r="E383" s="2889"/>
      <c r="F383" s="2890"/>
      <c r="G383" s="2892" t="s">
        <v>676</v>
      </c>
      <c r="H383" s="2889"/>
      <c r="I383" s="2888" t="s">
        <v>676</v>
      </c>
      <c r="J383" s="2890"/>
      <c r="K383" s="2271" t="s">
        <v>676</v>
      </c>
      <c r="L383" s="2271" t="s">
        <v>676</v>
      </c>
      <c r="M383" s="2271" t="s">
        <v>676</v>
      </c>
      <c r="N383" s="2272" t="s">
        <v>676</v>
      </c>
      <c r="O383" s="2270" t="s">
        <v>2770</v>
      </c>
      <c r="P383" s="2270">
        <v>0</v>
      </c>
      <c r="Q383" s="2271" t="s">
        <v>676</v>
      </c>
      <c r="R383" s="2271" t="s">
        <v>676</v>
      </c>
      <c r="S383" s="2271" t="s">
        <v>676</v>
      </c>
      <c r="T383" s="2271" t="s">
        <v>676</v>
      </c>
    </row>
    <row r="384" spans="1:20" ht="135">
      <c r="A384" s="2265"/>
      <c r="B384" s="2268">
        <v>14</v>
      </c>
      <c r="C384" s="2882" t="s">
        <v>2860</v>
      </c>
      <c r="D384" s="2883"/>
      <c r="E384" s="2883"/>
      <c r="F384" s="2884"/>
      <c r="G384" s="2882" t="s">
        <v>727</v>
      </c>
      <c r="H384" s="2884"/>
      <c r="I384" s="2882" t="s">
        <v>2762</v>
      </c>
      <c r="J384" s="2884"/>
      <c r="K384" s="2268" t="s">
        <v>2763</v>
      </c>
      <c r="L384" s="2268" t="s">
        <v>2764</v>
      </c>
      <c r="M384" s="2268" t="s">
        <v>2765</v>
      </c>
      <c r="N384" s="2269">
        <v>100000</v>
      </c>
      <c r="O384" s="2270" t="s">
        <v>2766</v>
      </c>
      <c r="P384" s="2270">
        <v>100000</v>
      </c>
      <c r="Q384" s="2268"/>
      <c r="R384" s="2268" t="s">
        <v>2767</v>
      </c>
      <c r="S384" s="2268" t="s">
        <v>2768</v>
      </c>
      <c r="T384" s="2268"/>
    </row>
    <row r="385" spans="1:20" ht="15">
      <c r="A385" s="2265"/>
      <c r="B385" s="2271" t="s">
        <v>676</v>
      </c>
      <c r="C385" s="2888" t="s">
        <v>676</v>
      </c>
      <c r="D385" s="2889"/>
      <c r="E385" s="2889"/>
      <c r="F385" s="2890"/>
      <c r="G385" s="2888" t="s">
        <v>676</v>
      </c>
      <c r="H385" s="2890"/>
      <c r="I385" s="2888" t="s">
        <v>676</v>
      </c>
      <c r="J385" s="2890"/>
      <c r="K385" s="2271" t="s">
        <v>676</v>
      </c>
      <c r="L385" s="2271" t="s">
        <v>676</v>
      </c>
      <c r="M385" s="2271" t="s">
        <v>676</v>
      </c>
      <c r="N385" s="2272" t="s">
        <v>676</v>
      </c>
      <c r="O385" s="2270" t="s">
        <v>2769</v>
      </c>
      <c r="P385" s="2270">
        <v>0</v>
      </c>
      <c r="Q385" s="2271" t="s">
        <v>676</v>
      </c>
      <c r="R385" s="2271" t="s">
        <v>676</v>
      </c>
      <c r="S385" s="2271" t="s">
        <v>676</v>
      </c>
      <c r="T385" s="2271" t="s">
        <v>676</v>
      </c>
    </row>
    <row r="386" spans="1:20" ht="15">
      <c r="A386" s="2265"/>
      <c r="B386" s="2271" t="s">
        <v>676</v>
      </c>
      <c r="C386" s="2891" t="s">
        <v>676</v>
      </c>
      <c r="D386" s="2889"/>
      <c r="E386" s="2889"/>
      <c r="F386" s="2890"/>
      <c r="G386" s="2892" t="s">
        <v>676</v>
      </c>
      <c r="H386" s="2889"/>
      <c r="I386" s="2888" t="s">
        <v>676</v>
      </c>
      <c r="J386" s="2890"/>
      <c r="K386" s="2271" t="s">
        <v>676</v>
      </c>
      <c r="L386" s="2271" t="s">
        <v>676</v>
      </c>
      <c r="M386" s="2271" t="s">
        <v>676</v>
      </c>
      <c r="N386" s="2272" t="s">
        <v>676</v>
      </c>
      <c r="O386" s="2270" t="s">
        <v>2770</v>
      </c>
      <c r="P386" s="2270">
        <v>0</v>
      </c>
      <c r="Q386" s="2271" t="s">
        <v>676</v>
      </c>
      <c r="R386" s="2271" t="s">
        <v>676</v>
      </c>
      <c r="S386" s="2271" t="s">
        <v>676</v>
      </c>
      <c r="T386" s="2271" t="s">
        <v>676</v>
      </c>
    </row>
    <row r="387" spans="1:20" ht="135">
      <c r="A387" s="2265"/>
      <c r="B387" s="2268">
        <v>15</v>
      </c>
      <c r="C387" s="2882" t="s">
        <v>1123</v>
      </c>
      <c r="D387" s="2883"/>
      <c r="E387" s="2883"/>
      <c r="F387" s="2884"/>
      <c r="G387" s="2882" t="s">
        <v>1124</v>
      </c>
      <c r="H387" s="2884"/>
      <c r="I387" s="2882" t="s">
        <v>2762</v>
      </c>
      <c r="J387" s="2884"/>
      <c r="K387" s="2268" t="s">
        <v>2763</v>
      </c>
      <c r="L387" s="2268" t="s">
        <v>2775</v>
      </c>
      <c r="M387" s="2268" t="s">
        <v>2765</v>
      </c>
      <c r="N387" s="2269">
        <v>100000</v>
      </c>
      <c r="O387" s="2270" t="s">
        <v>2766</v>
      </c>
      <c r="P387" s="2270">
        <v>100000</v>
      </c>
      <c r="Q387" s="2268"/>
      <c r="R387" s="2268" t="s">
        <v>2767</v>
      </c>
      <c r="S387" s="2268" t="s">
        <v>2768</v>
      </c>
      <c r="T387" s="2268"/>
    </row>
    <row r="388" spans="1:20" ht="15">
      <c r="A388" s="2265"/>
      <c r="B388" s="2271" t="s">
        <v>676</v>
      </c>
      <c r="C388" s="2888" t="s">
        <v>676</v>
      </c>
      <c r="D388" s="2889"/>
      <c r="E388" s="2889"/>
      <c r="F388" s="2890"/>
      <c r="G388" s="2888" t="s">
        <v>676</v>
      </c>
      <c r="H388" s="2890"/>
      <c r="I388" s="2888" t="s">
        <v>676</v>
      </c>
      <c r="J388" s="2890"/>
      <c r="K388" s="2271" t="s">
        <v>676</v>
      </c>
      <c r="L388" s="2271" t="s">
        <v>676</v>
      </c>
      <c r="M388" s="2271" t="s">
        <v>676</v>
      </c>
      <c r="N388" s="2272" t="s">
        <v>676</v>
      </c>
      <c r="O388" s="2270" t="s">
        <v>2769</v>
      </c>
      <c r="P388" s="2270">
        <v>0</v>
      </c>
      <c r="Q388" s="2271" t="s">
        <v>676</v>
      </c>
      <c r="R388" s="2271" t="s">
        <v>676</v>
      </c>
      <c r="S388" s="2271" t="s">
        <v>676</v>
      </c>
      <c r="T388" s="2271" t="s">
        <v>676</v>
      </c>
    </row>
    <row r="389" spans="1:20" ht="15">
      <c r="A389" s="2265"/>
      <c r="B389" s="2271" t="s">
        <v>676</v>
      </c>
      <c r="C389" s="2891" t="s">
        <v>676</v>
      </c>
      <c r="D389" s="2889"/>
      <c r="E389" s="2889"/>
      <c r="F389" s="2890"/>
      <c r="G389" s="2892" t="s">
        <v>676</v>
      </c>
      <c r="H389" s="2889"/>
      <c r="I389" s="2888" t="s">
        <v>676</v>
      </c>
      <c r="J389" s="2890"/>
      <c r="K389" s="2271" t="s">
        <v>676</v>
      </c>
      <c r="L389" s="2271" t="s">
        <v>676</v>
      </c>
      <c r="M389" s="2271" t="s">
        <v>676</v>
      </c>
      <c r="N389" s="2272" t="s">
        <v>676</v>
      </c>
      <c r="O389" s="2270" t="s">
        <v>2770</v>
      </c>
      <c r="P389" s="2270">
        <v>0</v>
      </c>
      <c r="Q389" s="2271" t="s">
        <v>676</v>
      </c>
      <c r="R389" s="2271" t="s">
        <v>676</v>
      </c>
      <c r="S389" s="2271" t="s">
        <v>676</v>
      </c>
      <c r="T389" s="2271" t="s">
        <v>676</v>
      </c>
    </row>
    <row r="390" spans="1:20" ht="135">
      <c r="A390" s="2265"/>
      <c r="B390" s="2268">
        <v>16</v>
      </c>
      <c r="C390" s="2882" t="s">
        <v>1118</v>
      </c>
      <c r="D390" s="2883"/>
      <c r="E390" s="2883"/>
      <c r="F390" s="2884"/>
      <c r="G390" s="2882" t="s">
        <v>1119</v>
      </c>
      <c r="H390" s="2884"/>
      <c r="I390" s="2882" t="s">
        <v>2762</v>
      </c>
      <c r="J390" s="2884"/>
      <c r="K390" s="2268" t="s">
        <v>2763</v>
      </c>
      <c r="L390" s="2268" t="s">
        <v>2775</v>
      </c>
      <c r="M390" s="2268" t="s">
        <v>2765</v>
      </c>
      <c r="N390" s="2269">
        <v>100000</v>
      </c>
      <c r="O390" s="2270" t="s">
        <v>2766</v>
      </c>
      <c r="P390" s="2270">
        <v>100000</v>
      </c>
      <c r="Q390" s="2268"/>
      <c r="R390" s="2268" t="s">
        <v>2767</v>
      </c>
      <c r="S390" s="2268" t="s">
        <v>2768</v>
      </c>
      <c r="T390" s="2268"/>
    </row>
    <row r="391" spans="1:20" ht="15">
      <c r="A391" s="2265"/>
      <c r="B391" s="2271" t="s">
        <v>676</v>
      </c>
      <c r="C391" s="2888" t="s">
        <v>676</v>
      </c>
      <c r="D391" s="2889"/>
      <c r="E391" s="2889"/>
      <c r="F391" s="2890"/>
      <c r="G391" s="2888" t="s">
        <v>676</v>
      </c>
      <c r="H391" s="2890"/>
      <c r="I391" s="2888" t="s">
        <v>676</v>
      </c>
      <c r="J391" s="2890"/>
      <c r="K391" s="2271" t="s">
        <v>676</v>
      </c>
      <c r="L391" s="2271" t="s">
        <v>676</v>
      </c>
      <c r="M391" s="2271" t="s">
        <v>676</v>
      </c>
      <c r="N391" s="2272" t="s">
        <v>676</v>
      </c>
      <c r="O391" s="2270" t="s">
        <v>2769</v>
      </c>
      <c r="P391" s="2270">
        <v>0</v>
      </c>
      <c r="Q391" s="2271" t="s">
        <v>676</v>
      </c>
      <c r="R391" s="2271" t="s">
        <v>676</v>
      </c>
      <c r="S391" s="2271" t="s">
        <v>676</v>
      </c>
      <c r="T391" s="2271" t="s">
        <v>676</v>
      </c>
    </row>
    <row r="392" spans="1:20" ht="15">
      <c r="A392" s="2265"/>
      <c r="B392" s="2271" t="s">
        <v>676</v>
      </c>
      <c r="C392" s="2891" t="s">
        <v>676</v>
      </c>
      <c r="D392" s="2889"/>
      <c r="E392" s="2889"/>
      <c r="F392" s="2890"/>
      <c r="G392" s="2892" t="s">
        <v>676</v>
      </c>
      <c r="H392" s="2889"/>
      <c r="I392" s="2888" t="s">
        <v>676</v>
      </c>
      <c r="J392" s="2890"/>
      <c r="K392" s="2271" t="s">
        <v>676</v>
      </c>
      <c r="L392" s="2271" t="s">
        <v>676</v>
      </c>
      <c r="M392" s="2271" t="s">
        <v>676</v>
      </c>
      <c r="N392" s="2272" t="s">
        <v>676</v>
      </c>
      <c r="O392" s="2270" t="s">
        <v>2770</v>
      </c>
      <c r="P392" s="2270">
        <v>0</v>
      </c>
      <c r="Q392" s="2271" t="s">
        <v>676</v>
      </c>
      <c r="R392" s="2271" t="s">
        <v>676</v>
      </c>
      <c r="S392" s="2271" t="s">
        <v>676</v>
      </c>
      <c r="T392" s="2271" t="s">
        <v>676</v>
      </c>
    </row>
    <row r="393" spans="1:20" ht="135">
      <c r="A393" s="2265"/>
      <c r="B393" s="2268">
        <v>17</v>
      </c>
      <c r="C393" s="2882" t="s">
        <v>2861</v>
      </c>
      <c r="D393" s="2883"/>
      <c r="E393" s="2883"/>
      <c r="F393" s="2884"/>
      <c r="G393" s="2882" t="s">
        <v>749</v>
      </c>
      <c r="H393" s="2884"/>
      <c r="I393" s="2882" t="s">
        <v>2762</v>
      </c>
      <c r="J393" s="2884"/>
      <c r="K393" s="2268" t="s">
        <v>2763</v>
      </c>
      <c r="L393" s="2268" t="s">
        <v>2764</v>
      </c>
      <c r="M393" s="2268" t="s">
        <v>2765</v>
      </c>
      <c r="N393" s="2269">
        <v>100000</v>
      </c>
      <c r="O393" s="2270" t="s">
        <v>2766</v>
      </c>
      <c r="P393" s="2270">
        <v>100000</v>
      </c>
      <c r="Q393" s="2268"/>
      <c r="R393" s="2268" t="s">
        <v>2767</v>
      </c>
      <c r="S393" s="2268" t="s">
        <v>2768</v>
      </c>
      <c r="T393" s="2268"/>
    </row>
    <row r="394" spans="1:20" ht="15">
      <c r="A394" s="2265"/>
      <c r="B394" s="2271" t="s">
        <v>676</v>
      </c>
      <c r="C394" s="2888" t="s">
        <v>676</v>
      </c>
      <c r="D394" s="2889"/>
      <c r="E394" s="2889"/>
      <c r="F394" s="2890"/>
      <c r="G394" s="2888" t="s">
        <v>676</v>
      </c>
      <c r="H394" s="2890"/>
      <c r="I394" s="2888" t="s">
        <v>676</v>
      </c>
      <c r="J394" s="2890"/>
      <c r="K394" s="2271" t="s">
        <v>676</v>
      </c>
      <c r="L394" s="2271" t="s">
        <v>676</v>
      </c>
      <c r="M394" s="2271" t="s">
        <v>676</v>
      </c>
      <c r="N394" s="2272" t="s">
        <v>676</v>
      </c>
      <c r="O394" s="2270" t="s">
        <v>2769</v>
      </c>
      <c r="P394" s="2270">
        <v>0</v>
      </c>
      <c r="Q394" s="2271" t="s">
        <v>676</v>
      </c>
      <c r="R394" s="2271" t="s">
        <v>676</v>
      </c>
      <c r="S394" s="2271" t="s">
        <v>676</v>
      </c>
      <c r="T394" s="2271" t="s">
        <v>676</v>
      </c>
    </row>
    <row r="395" spans="1:20" ht="15">
      <c r="A395" s="2265"/>
      <c r="B395" s="2271" t="s">
        <v>676</v>
      </c>
      <c r="C395" s="2891" t="s">
        <v>676</v>
      </c>
      <c r="D395" s="2889"/>
      <c r="E395" s="2889"/>
      <c r="F395" s="2890"/>
      <c r="G395" s="2892" t="s">
        <v>676</v>
      </c>
      <c r="H395" s="2889"/>
      <c r="I395" s="2888" t="s">
        <v>676</v>
      </c>
      <c r="J395" s="2890"/>
      <c r="K395" s="2271" t="s">
        <v>676</v>
      </c>
      <c r="L395" s="2271" t="s">
        <v>676</v>
      </c>
      <c r="M395" s="2271" t="s">
        <v>676</v>
      </c>
      <c r="N395" s="2272" t="s">
        <v>676</v>
      </c>
      <c r="O395" s="2270" t="s">
        <v>2770</v>
      </c>
      <c r="P395" s="2270">
        <v>0</v>
      </c>
      <c r="Q395" s="2271" t="s">
        <v>676</v>
      </c>
      <c r="R395" s="2271" t="s">
        <v>676</v>
      </c>
      <c r="S395" s="2271" t="s">
        <v>676</v>
      </c>
      <c r="T395" s="2271" t="s">
        <v>676</v>
      </c>
    </row>
    <row r="396" spans="1:20" ht="135">
      <c r="A396" s="2265"/>
      <c r="B396" s="2268">
        <v>18</v>
      </c>
      <c r="C396" s="2882" t="s">
        <v>1133</v>
      </c>
      <c r="D396" s="2883"/>
      <c r="E396" s="2883"/>
      <c r="F396" s="2884"/>
      <c r="G396" s="2882" t="s">
        <v>1134</v>
      </c>
      <c r="H396" s="2884"/>
      <c r="I396" s="2882" t="s">
        <v>2762</v>
      </c>
      <c r="J396" s="2884"/>
      <c r="K396" s="2268" t="s">
        <v>2763</v>
      </c>
      <c r="L396" s="2268" t="s">
        <v>2775</v>
      </c>
      <c r="M396" s="2268" t="s">
        <v>2765</v>
      </c>
      <c r="N396" s="2269">
        <v>100000</v>
      </c>
      <c r="O396" s="2270" t="s">
        <v>2766</v>
      </c>
      <c r="P396" s="2270">
        <v>100000</v>
      </c>
      <c r="Q396" s="2268"/>
      <c r="R396" s="2268" t="s">
        <v>2767</v>
      </c>
      <c r="S396" s="2268" t="s">
        <v>2768</v>
      </c>
      <c r="T396" s="2268"/>
    </row>
    <row r="397" spans="1:20" ht="15">
      <c r="A397" s="2265"/>
      <c r="B397" s="2271" t="s">
        <v>676</v>
      </c>
      <c r="C397" s="2888" t="s">
        <v>676</v>
      </c>
      <c r="D397" s="2889"/>
      <c r="E397" s="2889"/>
      <c r="F397" s="2890"/>
      <c r="G397" s="2888" t="s">
        <v>676</v>
      </c>
      <c r="H397" s="2890"/>
      <c r="I397" s="2888" t="s">
        <v>676</v>
      </c>
      <c r="J397" s="2890"/>
      <c r="K397" s="2271" t="s">
        <v>676</v>
      </c>
      <c r="L397" s="2271" t="s">
        <v>676</v>
      </c>
      <c r="M397" s="2271" t="s">
        <v>676</v>
      </c>
      <c r="N397" s="2272" t="s">
        <v>676</v>
      </c>
      <c r="O397" s="2270" t="s">
        <v>2769</v>
      </c>
      <c r="P397" s="2270">
        <v>0</v>
      </c>
      <c r="Q397" s="2271" t="s">
        <v>676</v>
      </c>
      <c r="R397" s="2271" t="s">
        <v>676</v>
      </c>
      <c r="S397" s="2271" t="s">
        <v>676</v>
      </c>
      <c r="T397" s="2271" t="s">
        <v>676</v>
      </c>
    </row>
    <row r="398" spans="1:20" ht="15">
      <c r="A398" s="2265"/>
      <c r="B398" s="2273" t="s">
        <v>676</v>
      </c>
      <c r="C398" s="2896" t="s">
        <v>676</v>
      </c>
      <c r="D398" s="2942"/>
      <c r="E398" s="2942"/>
      <c r="F398" s="2943"/>
      <c r="G398" s="2899" t="s">
        <v>676</v>
      </c>
      <c r="H398" s="2942"/>
      <c r="I398" s="2900" t="s">
        <v>676</v>
      </c>
      <c r="J398" s="2943"/>
      <c r="K398" s="2273" t="s">
        <v>676</v>
      </c>
      <c r="L398" s="2273" t="s">
        <v>676</v>
      </c>
      <c r="M398" s="2273" t="s">
        <v>676</v>
      </c>
      <c r="N398" s="2274" t="s">
        <v>676</v>
      </c>
      <c r="O398" s="2270" t="s">
        <v>2770</v>
      </c>
      <c r="P398" s="2270">
        <v>0</v>
      </c>
      <c r="Q398" s="2273" t="s">
        <v>676</v>
      </c>
      <c r="R398" s="2273" t="s">
        <v>676</v>
      </c>
      <c r="S398" s="2273" t="s">
        <v>676</v>
      </c>
      <c r="T398" s="2273" t="s">
        <v>676</v>
      </c>
    </row>
    <row r="399" spans="1:20" ht="30">
      <c r="A399" s="2304"/>
      <c r="B399" s="2276" t="s">
        <v>82</v>
      </c>
      <c r="C399" s="2277"/>
      <c r="D399" s="2277"/>
      <c r="E399" s="2277"/>
      <c r="F399" s="2277"/>
      <c r="G399" s="2277"/>
      <c r="H399" s="2277">
        <f>SUM(H343:H398)</f>
        <v>0</v>
      </c>
      <c r="I399" s="2277"/>
      <c r="J399" s="2277">
        <f>SUM(J343:J398)</f>
        <v>0</v>
      </c>
      <c r="K399" s="2277"/>
      <c r="L399" s="2277"/>
      <c r="M399" s="2277"/>
      <c r="N399" s="2277">
        <f>SUM(N345:N398)</f>
        <v>6539509</v>
      </c>
      <c r="O399" s="2278"/>
      <c r="P399" s="2278">
        <f>SUM(P345:P398)</f>
        <v>6539509</v>
      </c>
      <c r="Q399" s="2278"/>
      <c r="R399" s="2278"/>
      <c r="S399" s="2278"/>
      <c r="T399" s="2279"/>
    </row>
    <row r="400" spans="1:20" ht="20.25">
      <c r="A400" s="2280"/>
      <c r="B400" s="2281"/>
      <c r="C400" s="2280"/>
      <c r="D400" s="2280"/>
      <c r="E400" s="2281"/>
      <c r="F400" s="2280"/>
      <c r="G400" s="2280"/>
      <c r="H400" s="2280"/>
      <c r="I400" s="2280"/>
      <c r="J400" s="2282"/>
      <c r="K400" s="2282"/>
      <c r="L400" s="2282"/>
      <c r="M400" s="2283"/>
      <c r="N400" s="2282"/>
      <c r="O400" s="2284" t="s">
        <v>2789</v>
      </c>
      <c r="P400" s="2282"/>
      <c r="Q400" s="2282"/>
      <c r="R400" s="2282"/>
      <c r="S400" s="2282"/>
      <c r="T400" s="2282"/>
    </row>
    <row r="401" spans="1:20" ht="20.25">
      <c r="A401" s="2282"/>
      <c r="B401" s="2282"/>
      <c r="C401" s="2282"/>
      <c r="D401" s="2282"/>
      <c r="E401" s="2282"/>
      <c r="F401" s="2282"/>
      <c r="G401" s="2282"/>
      <c r="H401" s="2282"/>
      <c r="I401" s="2282"/>
      <c r="J401" s="2282"/>
      <c r="K401" s="2282"/>
      <c r="L401" s="2282"/>
      <c r="M401" s="2283"/>
      <c r="N401" s="2282"/>
      <c r="O401" s="2284" t="s">
        <v>2790</v>
      </c>
      <c r="P401" s="2282"/>
      <c r="Q401" s="2282"/>
      <c r="R401" s="2282"/>
      <c r="S401" s="2282"/>
      <c r="T401" s="2282"/>
    </row>
    <row r="402" spans="1:20" ht="23.25">
      <c r="A402" s="2985" t="s">
        <v>2749</v>
      </c>
      <c r="B402" s="2987"/>
      <c r="C402" s="2987"/>
      <c r="D402" s="2987"/>
      <c r="E402" s="2987"/>
      <c r="F402" s="2987"/>
      <c r="G402" s="2987"/>
      <c r="H402" s="2261"/>
      <c r="I402" s="2261"/>
      <c r="J402" s="2261"/>
      <c r="K402" s="2261"/>
      <c r="L402" s="2261"/>
      <c r="M402" s="2262"/>
      <c r="N402" s="2263"/>
      <c r="O402" s="2263"/>
      <c r="P402" s="2263"/>
      <c r="Q402" s="2261"/>
      <c r="R402" s="2261"/>
      <c r="S402" s="2261"/>
      <c r="T402" s="2261"/>
    </row>
    <row r="403" spans="1:20" ht="15">
      <c r="A403" s="2261"/>
      <c r="B403" s="2261"/>
      <c r="C403" s="2261"/>
      <c r="D403" s="2261"/>
      <c r="E403" s="2261"/>
      <c r="F403" s="2261"/>
      <c r="G403" s="2261"/>
      <c r="H403" s="2261"/>
      <c r="I403" s="2261"/>
      <c r="J403" s="2261"/>
      <c r="K403" s="2261"/>
      <c r="L403" s="2261"/>
      <c r="M403" s="2262"/>
      <c r="N403" s="2263"/>
      <c r="O403" s="2263"/>
      <c r="P403" s="2263"/>
      <c r="Q403" s="2261"/>
      <c r="R403" s="2261"/>
      <c r="S403" s="2261"/>
      <c r="T403" s="2261"/>
    </row>
    <row r="404" spans="1:20" ht="15">
      <c r="A404" s="2960" t="s">
        <v>653</v>
      </c>
      <c r="B404" s="2988"/>
      <c r="C404" s="2988"/>
      <c r="D404" s="2261"/>
      <c r="E404" s="2264">
        <v>2020</v>
      </c>
      <c r="F404" s="2261"/>
      <c r="G404" s="2261"/>
      <c r="H404" s="2261"/>
      <c r="I404" s="2261"/>
      <c r="J404" s="2261"/>
      <c r="K404" s="2261"/>
      <c r="L404" s="2261"/>
      <c r="M404" s="2262"/>
      <c r="N404" s="2263"/>
      <c r="O404" s="2263"/>
      <c r="P404" s="2263"/>
      <c r="Q404" s="2261"/>
      <c r="R404" s="2261"/>
      <c r="S404" s="2261"/>
      <c r="T404" s="2261"/>
    </row>
    <row r="405" spans="1:20" ht="15">
      <c r="A405" s="2261"/>
      <c r="B405" s="2261"/>
      <c r="C405" s="2261"/>
      <c r="D405" s="2261"/>
      <c r="E405" s="2261"/>
      <c r="F405" s="2261"/>
      <c r="G405" s="2261"/>
      <c r="H405" s="2261"/>
      <c r="I405" s="2261"/>
      <c r="J405" s="2261"/>
      <c r="K405" s="2261"/>
      <c r="L405" s="2261"/>
      <c r="M405" s="2262"/>
      <c r="N405" s="2263"/>
      <c r="O405" s="2263"/>
      <c r="P405" s="2263"/>
      <c r="Q405" s="2261"/>
      <c r="R405" s="2261"/>
      <c r="S405" s="2261"/>
      <c r="T405" s="2261"/>
    </row>
    <row r="406" spans="1:20" ht="15">
      <c r="A406" s="2960" t="s">
        <v>655</v>
      </c>
      <c r="B406" s="2988"/>
      <c r="C406" s="2988"/>
      <c r="D406" s="2261"/>
      <c r="E406" s="2961" t="s">
        <v>1179</v>
      </c>
      <c r="F406" s="2988"/>
      <c r="G406" s="2988"/>
      <c r="H406" s="2988"/>
      <c r="I406" s="2988"/>
      <c r="J406" s="2261"/>
      <c r="K406" s="2261"/>
      <c r="L406" s="2261"/>
      <c r="M406" s="2262"/>
      <c r="N406" s="2263"/>
      <c r="O406" s="2263"/>
      <c r="P406" s="2263"/>
      <c r="Q406" s="2261"/>
      <c r="R406" s="2261"/>
      <c r="S406" s="2261"/>
      <c r="T406" s="2261"/>
    </row>
    <row r="407" spans="1:20" ht="15">
      <c r="A407" s="2261"/>
      <c r="B407" s="2261"/>
      <c r="C407" s="2261"/>
      <c r="D407" s="2261"/>
      <c r="E407" s="2261"/>
      <c r="F407" s="2261"/>
      <c r="G407" s="2261"/>
      <c r="H407" s="2261"/>
      <c r="I407" s="2261"/>
      <c r="J407" s="2261"/>
      <c r="K407" s="2261"/>
      <c r="L407" s="2261"/>
      <c r="M407" s="2262"/>
      <c r="N407" s="2263"/>
      <c r="O407" s="2263"/>
      <c r="P407" s="2263"/>
      <c r="Q407" s="2261"/>
      <c r="R407" s="2261"/>
      <c r="S407" s="2261"/>
      <c r="T407" s="2261"/>
    </row>
    <row r="408" spans="1:20" ht="126">
      <c r="A408" s="2265"/>
      <c r="B408" s="2266" t="s">
        <v>657</v>
      </c>
      <c r="C408" s="2893" t="s">
        <v>587</v>
      </c>
      <c r="D408" s="2894"/>
      <c r="E408" s="2894"/>
      <c r="F408" s="2895"/>
      <c r="G408" s="2893" t="s">
        <v>2751</v>
      </c>
      <c r="H408" s="2895"/>
      <c r="I408" s="2893" t="s">
        <v>2752</v>
      </c>
      <c r="J408" s="2895"/>
      <c r="K408" s="2266" t="s">
        <v>2753</v>
      </c>
      <c r="L408" s="2266" t="s">
        <v>2754</v>
      </c>
      <c r="M408" s="2266" t="s">
        <v>2755</v>
      </c>
      <c r="N408" s="2267" t="s">
        <v>2756</v>
      </c>
      <c r="O408" s="2267" t="s">
        <v>2757</v>
      </c>
      <c r="P408" s="2267" t="s">
        <v>2758</v>
      </c>
      <c r="Q408" s="2266" t="s">
        <v>623</v>
      </c>
      <c r="R408" s="2266" t="s">
        <v>2759</v>
      </c>
      <c r="S408" s="2266" t="s">
        <v>2760</v>
      </c>
      <c r="T408" s="2266" t="s">
        <v>2761</v>
      </c>
    </row>
    <row r="409" spans="1:20" ht="135">
      <c r="A409" s="2265"/>
      <c r="B409" s="2268">
        <v>1</v>
      </c>
      <c r="C409" s="2882" t="s">
        <v>1194</v>
      </c>
      <c r="D409" s="2883"/>
      <c r="E409" s="2883"/>
      <c r="F409" s="2884"/>
      <c r="G409" s="2882" t="s">
        <v>2862</v>
      </c>
      <c r="H409" s="2884"/>
      <c r="I409" s="2882" t="s">
        <v>2762</v>
      </c>
      <c r="J409" s="2884"/>
      <c r="K409" s="2268" t="s">
        <v>2763</v>
      </c>
      <c r="L409" s="2268" t="s">
        <v>2764</v>
      </c>
      <c r="M409" s="2268" t="s">
        <v>2765</v>
      </c>
      <c r="N409" s="2269">
        <v>100000</v>
      </c>
      <c r="O409" s="2270" t="s">
        <v>2766</v>
      </c>
      <c r="P409" s="2270">
        <v>100000</v>
      </c>
      <c r="Q409" s="2268"/>
      <c r="R409" s="2268" t="s">
        <v>2863</v>
      </c>
      <c r="S409" s="2268" t="s">
        <v>2768</v>
      </c>
      <c r="T409" s="2268"/>
    </row>
    <row r="410" spans="1:20" ht="15">
      <c r="A410" s="2265"/>
      <c r="B410" s="2271" t="s">
        <v>676</v>
      </c>
      <c r="C410" s="2888" t="s">
        <v>676</v>
      </c>
      <c r="D410" s="2889"/>
      <c r="E410" s="2889"/>
      <c r="F410" s="2890"/>
      <c r="G410" s="2888" t="s">
        <v>676</v>
      </c>
      <c r="H410" s="2890"/>
      <c r="I410" s="2888" t="s">
        <v>676</v>
      </c>
      <c r="J410" s="2890"/>
      <c r="K410" s="2271" t="s">
        <v>676</v>
      </c>
      <c r="L410" s="2271" t="s">
        <v>676</v>
      </c>
      <c r="M410" s="2271" t="s">
        <v>676</v>
      </c>
      <c r="N410" s="2272" t="s">
        <v>676</v>
      </c>
      <c r="O410" s="2270" t="s">
        <v>2769</v>
      </c>
      <c r="P410" s="2270">
        <v>0</v>
      </c>
      <c r="Q410" s="2271" t="s">
        <v>676</v>
      </c>
      <c r="R410" s="2271" t="s">
        <v>676</v>
      </c>
      <c r="S410" s="2271" t="s">
        <v>676</v>
      </c>
      <c r="T410" s="2271" t="s">
        <v>676</v>
      </c>
    </row>
    <row r="411" spans="1:20" ht="15">
      <c r="A411" s="2265"/>
      <c r="B411" s="2271" t="s">
        <v>676</v>
      </c>
      <c r="C411" s="2891" t="s">
        <v>676</v>
      </c>
      <c r="D411" s="2889"/>
      <c r="E411" s="2889"/>
      <c r="F411" s="2890"/>
      <c r="G411" s="2892" t="s">
        <v>676</v>
      </c>
      <c r="H411" s="2889"/>
      <c r="I411" s="2888" t="s">
        <v>676</v>
      </c>
      <c r="J411" s="2890"/>
      <c r="K411" s="2271" t="s">
        <v>676</v>
      </c>
      <c r="L411" s="2271" t="s">
        <v>676</v>
      </c>
      <c r="M411" s="2271" t="s">
        <v>676</v>
      </c>
      <c r="N411" s="2272" t="s">
        <v>676</v>
      </c>
      <c r="O411" s="2270" t="s">
        <v>2770</v>
      </c>
      <c r="P411" s="2270">
        <v>0</v>
      </c>
      <c r="Q411" s="2271" t="s">
        <v>676</v>
      </c>
      <c r="R411" s="2271" t="s">
        <v>676</v>
      </c>
      <c r="S411" s="2271" t="s">
        <v>676</v>
      </c>
      <c r="T411" s="2271" t="s">
        <v>676</v>
      </c>
    </row>
    <row r="412" spans="1:20" ht="135">
      <c r="A412" s="2265"/>
      <c r="B412" s="2268">
        <v>2</v>
      </c>
      <c r="C412" s="2882" t="s">
        <v>2864</v>
      </c>
      <c r="D412" s="2883"/>
      <c r="E412" s="2883"/>
      <c r="F412" s="2884"/>
      <c r="G412" s="2882" t="s">
        <v>2865</v>
      </c>
      <c r="H412" s="2884"/>
      <c r="I412" s="2882" t="s">
        <v>2762</v>
      </c>
      <c r="J412" s="2884"/>
      <c r="K412" s="2268" t="s">
        <v>2763</v>
      </c>
      <c r="L412" s="2268" t="s">
        <v>2764</v>
      </c>
      <c r="M412" s="2268" t="s">
        <v>2765</v>
      </c>
      <c r="N412" s="2269">
        <v>100000</v>
      </c>
      <c r="O412" s="2270" t="s">
        <v>2766</v>
      </c>
      <c r="P412" s="2270">
        <v>100000</v>
      </c>
      <c r="Q412" s="2268"/>
      <c r="R412" s="2268" t="s">
        <v>630</v>
      </c>
      <c r="S412" s="2268" t="s">
        <v>2768</v>
      </c>
      <c r="T412" s="2268"/>
    </row>
    <row r="413" spans="1:20" ht="15">
      <c r="A413" s="2265"/>
      <c r="B413" s="2271" t="s">
        <v>676</v>
      </c>
      <c r="C413" s="2888" t="s">
        <v>676</v>
      </c>
      <c r="D413" s="2889"/>
      <c r="E413" s="2889"/>
      <c r="F413" s="2890"/>
      <c r="G413" s="2888" t="s">
        <v>676</v>
      </c>
      <c r="H413" s="2890"/>
      <c r="I413" s="2888" t="s">
        <v>676</v>
      </c>
      <c r="J413" s="2890"/>
      <c r="K413" s="2271" t="s">
        <v>676</v>
      </c>
      <c r="L413" s="2271" t="s">
        <v>676</v>
      </c>
      <c r="M413" s="2271" t="s">
        <v>676</v>
      </c>
      <c r="N413" s="2272" t="s">
        <v>676</v>
      </c>
      <c r="O413" s="2270" t="s">
        <v>2769</v>
      </c>
      <c r="P413" s="2270">
        <v>0</v>
      </c>
      <c r="Q413" s="2271" t="s">
        <v>676</v>
      </c>
      <c r="R413" s="2271" t="s">
        <v>676</v>
      </c>
      <c r="S413" s="2271" t="s">
        <v>676</v>
      </c>
      <c r="T413" s="2271" t="s">
        <v>676</v>
      </c>
    </row>
    <row r="414" spans="1:20" ht="15">
      <c r="A414" s="2265"/>
      <c r="B414" s="2271" t="s">
        <v>676</v>
      </c>
      <c r="C414" s="2891" t="s">
        <v>676</v>
      </c>
      <c r="D414" s="2889"/>
      <c r="E414" s="2889"/>
      <c r="F414" s="2890"/>
      <c r="G414" s="2892" t="s">
        <v>676</v>
      </c>
      <c r="H414" s="2889"/>
      <c r="I414" s="2888" t="s">
        <v>676</v>
      </c>
      <c r="J414" s="2890"/>
      <c r="K414" s="2271" t="s">
        <v>676</v>
      </c>
      <c r="L414" s="2271" t="s">
        <v>676</v>
      </c>
      <c r="M414" s="2271" t="s">
        <v>676</v>
      </c>
      <c r="N414" s="2272" t="s">
        <v>676</v>
      </c>
      <c r="O414" s="2270" t="s">
        <v>2770</v>
      </c>
      <c r="P414" s="2270">
        <v>0</v>
      </c>
      <c r="Q414" s="2271" t="s">
        <v>676</v>
      </c>
      <c r="R414" s="2271" t="s">
        <v>676</v>
      </c>
      <c r="S414" s="2271" t="s">
        <v>676</v>
      </c>
      <c r="T414" s="2271" t="s">
        <v>676</v>
      </c>
    </row>
    <row r="415" spans="1:20" ht="165">
      <c r="A415" s="2265"/>
      <c r="B415" s="2268">
        <v>3</v>
      </c>
      <c r="C415" s="2882" t="s">
        <v>2866</v>
      </c>
      <c r="D415" s="2883"/>
      <c r="E415" s="2883"/>
      <c r="F415" s="2884"/>
      <c r="G415" s="2882" t="s">
        <v>1183</v>
      </c>
      <c r="H415" s="2884"/>
      <c r="I415" s="2882" t="s">
        <v>2762</v>
      </c>
      <c r="J415" s="2884"/>
      <c r="K415" s="2268" t="s">
        <v>2763</v>
      </c>
      <c r="L415" s="2268" t="s">
        <v>2775</v>
      </c>
      <c r="M415" s="2268" t="s">
        <v>2798</v>
      </c>
      <c r="N415" s="2269">
        <v>135620</v>
      </c>
      <c r="O415" s="2270" t="s">
        <v>2766</v>
      </c>
      <c r="P415" s="2270">
        <v>135620</v>
      </c>
      <c r="Q415" s="2268"/>
      <c r="R415" s="2268" t="s">
        <v>2799</v>
      </c>
      <c r="S415" s="2268" t="s">
        <v>2768</v>
      </c>
      <c r="T415" s="2268"/>
    </row>
    <row r="416" spans="1:20" ht="15">
      <c r="A416" s="2265"/>
      <c r="B416" s="2271" t="s">
        <v>676</v>
      </c>
      <c r="C416" s="2888" t="s">
        <v>676</v>
      </c>
      <c r="D416" s="2889"/>
      <c r="E416" s="2889"/>
      <c r="F416" s="2890"/>
      <c r="G416" s="2888" t="s">
        <v>676</v>
      </c>
      <c r="H416" s="2890"/>
      <c r="I416" s="2888" t="s">
        <v>676</v>
      </c>
      <c r="J416" s="2890"/>
      <c r="K416" s="2271" t="s">
        <v>676</v>
      </c>
      <c r="L416" s="2271" t="s">
        <v>676</v>
      </c>
      <c r="M416" s="2271" t="s">
        <v>676</v>
      </c>
      <c r="N416" s="2272" t="s">
        <v>676</v>
      </c>
      <c r="O416" s="2270" t="s">
        <v>2769</v>
      </c>
      <c r="P416" s="2270">
        <v>0</v>
      </c>
      <c r="Q416" s="2271" t="s">
        <v>676</v>
      </c>
      <c r="R416" s="2271" t="s">
        <v>676</v>
      </c>
      <c r="S416" s="2271" t="s">
        <v>676</v>
      </c>
      <c r="T416" s="2271" t="s">
        <v>676</v>
      </c>
    </row>
    <row r="417" spans="1:20" ht="15">
      <c r="A417" s="2265"/>
      <c r="B417" s="2271" t="s">
        <v>676</v>
      </c>
      <c r="C417" s="2891" t="s">
        <v>676</v>
      </c>
      <c r="D417" s="2889"/>
      <c r="E417" s="2889"/>
      <c r="F417" s="2890"/>
      <c r="G417" s="2892" t="s">
        <v>676</v>
      </c>
      <c r="H417" s="2889"/>
      <c r="I417" s="2888" t="s">
        <v>676</v>
      </c>
      <c r="J417" s="2890"/>
      <c r="K417" s="2271" t="s">
        <v>676</v>
      </c>
      <c r="L417" s="2271" t="s">
        <v>676</v>
      </c>
      <c r="M417" s="2271" t="s">
        <v>676</v>
      </c>
      <c r="N417" s="2272" t="s">
        <v>676</v>
      </c>
      <c r="O417" s="2270" t="s">
        <v>2770</v>
      </c>
      <c r="P417" s="2270">
        <v>0</v>
      </c>
      <c r="Q417" s="2271" t="s">
        <v>676</v>
      </c>
      <c r="R417" s="2271" t="s">
        <v>676</v>
      </c>
      <c r="S417" s="2271" t="s">
        <v>676</v>
      </c>
      <c r="T417" s="2271" t="s">
        <v>676</v>
      </c>
    </row>
    <row r="418" spans="1:20" ht="90">
      <c r="A418" s="2265"/>
      <c r="B418" s="2268">
        <v>4</v>
      </c>
      <c r="C418" s="2882" t="s">
        <v>890</v>
      </c>
      <c r="D418" s="2883"/>
      <c r="E418" s="2883"/>
      <c r="F418" s="2884"/>
      <c r="G418" s="2882" t="s">
        <v>1183</v>
      </c>
      <c r="H418" s="2884"/>
      <c r="I418" s="2882" t="s">
        <v>2762</v>
      </c>
      <c r="J418" s="2884"/>
      <c r="K418" s="2268" t="s">
        <v>2802</v>
      </c>
      <c r="L418" s="2268" t="s">
        <v>2775</v>
      </c>
      <c r="M418" s="2268" t="s">
        <v>2776</v>
      </c>
      <c r="N418" s="2269">
        <v>2000000</v>
      </c>
      <c r="O418" s="2270" t="s">
        <v>2766</v>
      </c>
      <c r="P418" s="2270">
        <v>2000000</v>
      </c>
      <c r="Q418" s="2268" t="s">
        <v>892</v>
      </c>
      <c r="R418" s="2268" t="s">
        <v>2799</v>
      </c>
      <c r="S418" s="2268" t="s">
        <v>2768</v>
      </c>
      <c r="T418" s="2268" t="s">
        <v>2867</v>
      </c>
    </row>
    <row r="419" spans="1:20" ht="15">
      <c r="A419" s="2265"/>
      <c r="B419" s="2271" t="s">
        <v>676</v>
      </c>
      <c r="C419" s="2888" t="s">
        <v>676</v>
      </c>
      <c r="D419" s="2889"/>
      <c r="E419" s="2889"/>
      <c r="F419" s="2890"/>
      <c r="G419" s="2888" t="s">
        <v>676</v>
      </c>
      <c r="H419" s="2890"/>
      <c r="I419" s="2888" t="s">
        <v>676</v>
      </c>
      <c r="J419" s="2890"/>
      <c r="K419" s="2271" t="s">
        <v>676</v>
      </c>
      <c r="L419" s="2271" t="s">
        <v>676</v>
      </c>
      <c r="M419" s="2271" t="s">
        <v>676</v>
      </c>
      <c r="N419" s="2272" t="s">
        <v>676</v>
      </c>
      <c r="O419" s="2270" t="s">
        <v>2769</v>
      </c>
      <c r="P419" s="2270">
        <v>0</v>
      </c>
      <c r="Q419" s="2271" t="s">
        <v>676</v>
      </c>
      <c r="R419" s="2271" t="s">
        <v>676</v>
      </c>
      <c r="S419" s="2271" t="s">
        <v>676</v>
      </c>
      <c r="T419" s="2271" t="s">
        <v>676</v>
      </c>
    </row>
    <row r="420" spans="1:20" ht="15">
      <c r="A420" s="2265"/>
      <c r="B420" s="2271" t="s">
        <v>676</v>
      </c>
      <c r="C420" s="2891" t="s">
        <v>676</v>
      </c>
      <c r="D420" s="2889"/>
      <c r="E420" s="2889"/>
      <c r="F420" s="2890"/>
      <c r="G420" s="2892" t="s">
        <v>676</v>
      </c>
      <c r="H420" s="2889"/>
      <c r="I420" s="2888" t="s">
        <v>676</v>
      </c>
      <c r="J420" s="2890"/>
      <c r="K420" s="2271" t="s">
        <v>676</v>
      </c>
      <c r="L420" s="2271" t="s">
        <v>676</v>
      </c>
      <c r="M420" s="2271" t="s">
        <v>676</v>
      </c>
      <c r="N420" s="2272" t="s">
        <v>676</v>
      </c>
      <c r="O420" s="2270" t="s">
        <v>2770</v>
      </c>
      <c r="P420" s="2270">
        <v>0</v>
      </c>
      <c r="Q420" s="2271" t="s">
        <v>676</v>
      </c>
      <c r="R420" s="2271" t="s">
        <v>676</v>
      </c>
      <c r="S420" s="2271" t="s">
        <v>676</v>
      </c>
      <c r="T420" s="2271" t="s">
        <v>676</v>
      </c>
    </row>
    <row r="421" spans="1:20" ht="135">
      <c r="A421" s="2265"/>
      <c r="B421" s="2268">
        <v>5</v>
      </c>
      <c r="C421" s="2882" t="s">
        <v>172</v>
      </c>
      <c r="D421" s="2883"/>
      <c r="E421" s="2883"/>
      <c r="F421" s="2884"/>
      <c r="G421" s="2882" t="s">
        <v>1898</v>
      </c>
      <c r="H421" s="2884"/>
      <c r="I421" s="2882" t="s">
        <v>2762</v>
      </c>
      <c r="J421" s="2884"/>
      <c r="K421" s="2268" t="s">
        <v>2763</v>
      </c>
      <c r="L421" s="2268" t="s">
        <v>2775</v>
      </c>
      <c r="M421" s="2268" t="s">
        <v>2765</v>
      </c>
      <c r="N421" s="2269">
        <v>100000</v>
      </c>
      <c r="O421" s="2270" t="s">
        <v>2766</v>
      </c>
      <c r="P421" s="2270">
        <v>100000</v>
      </c>
      <c r="Q421" s="2268"/>
      <c r="R421" s="2268" t="s">
        <v>2868</v>
      </c>
      <c r="S421" s="2268" t="s">
        <v>2768</v>
      </c>
      <c r="T421" s="2268"/>
    </row>
    <row r="422" spans="1:20" ht="15">
      <c r="A422" s="2265"/>
      <c r="B422" s="2271" t="s">
        <v>676</v>
      </c>
      <c r="C422" s="2888" t="s">
        <v>676</v>
      </c>
      <c r="D422" s="2889"/>
      <c r="E422" s="2889"/>
      <c r="F422" s="2890"/>
      <c r="G422" s="2888" t="s">
        <v>676</v>
      </c>
      <c r="H422" s="2890"/>
      <c r="I422" s="2888" t="s">
        <v>676</v>
      </c>
      <c r="J422" s="2890"/>
      <c r="K422" s="2271" t="s">
        <v>676</v>
      </c>
      <c r="L422" s="2271" t="s">
        <v>676</v>
      </c>
      <c r="M422" s="2271" t="s">
        <v>676</v>
      </c>
      <c r="N422" s="2272" t="s">
        <v>676</v>
      </c>
      <c r="O422" s="2270" t="s">
        <v>2769</v>
      </c>
      <c r="P422" s="2270">
        <v>0</v>
      </c>
      <c r="Q422" s="2271" t="s">
        <v>676</v>
      </c>
      <c r="R422" s="2271" t="s">
        <v>676</v>
      </c>
      <c r="S422" s="2271" t="s">
        <v>676</v>
      </c>
      <c r="T422" s="2271" t="s">
        <v>676</v>
      </c>
    </row>
    <row r="423" spans="1:20" ht="15">
      <c r="A423" s="2265"/>
      <c r="B423" s="2271" t="s">
        <v>676</v>
      </c>
      <c r="C423" s="2891" t="s">
        <v>676</v>
      </c>
      <c r="D423" s="2889"/>
      <c r="E423" s="2889"/>
      <c r="F423" s="2890"/>
      <c r="G423" s="2892" t="s">
        <v>676</v>
      </c>
      <c r="H423" s="2889"/>
      <c r="I423" s="2888" t="s">
        <v>676</v>
      </c>
      <c r="J423" s="2890"/>
      <c r="K423" s="2271" t="s">
        <v>676</v>
      </c>
      <c r="L423" s="2271" t="s">
        <v>676</v>
      </c>
      <c r="M423" s="2271" t="s">
        <v>676</v>
      </c>
      <c r="N423" s="2272" t="s">
        <v>676</v>
      </c>
      <c r="O423" s="2270" t="s">
        <v>2770</v>
      </c>
      <c r="P423" s="2270">
        <v>0</v>
      </c>
      <c r="Q423" s="2271" t="s">
        <v>676</v>
      </c>
      <c r="R423" s="2271" t="s">
        <v>676</v>
      </c>
      <c r="S423" s="2271" t="s">
        <v>676</v>
      </c>
      <c r="T423" s="2271" t="s">
        <v>676</v>
      </c>
    </row>
    <row r="424" spans="1:20" ht="135">
      <c r="A424" s="2265"/>
      <c r="B424" s="2268">
        <v>6</v>
      </c>
      <c r="C424" s="2882" t="s">
        <v>1721</v>
      </c>
      <c r="D424" s="2883"/>
      <c r="E424" s="2883"/>
      <c r="F424" s="2884"/>
      <c r="G424" s="2882" t="s">
        <v>699</v>
      </c>
      <c r="H424" s="2884"/>
      <c r="I424" s="2882" t="s">
        <v>2762</v>
      </c>
      <c r="J424" s="2884"/>
      <c r="K424" s="2268" t="s">
        <v>2763</v>
      </c>
      <c r="L424" s="2268" t="s">
        <v>2775</v>
      </c>
      <c r="M424" s="2268" t="s">
        <v>2765</v>
      </c>
      <c r="N424" s="2269">
        <v>83333</v>
      </c>
      <c r="O424" s="2270" t="s">
        <v>2766</v>
      </c>
      <c r="P424" s="2270">
        <v>83333</v>
      </c>
      <c r="Q424" s="2268"/>
      <c r="R424" s="2268" t="s">
        <v>2863</v>
      </c>
      <c r="S424" s="2268" t="s">
        <v>2768</v>
      </c>
      <c r="T424" s="2268"/>
    </row>
    <row r="425" spans="1:20" ht="15">
      <c r="A425" s="2265"/>
      <c r="B425" s="2271" t="s">
        <v>676</v>
      </c>
      <c r="C425" s="2888" t="s">
        <v>676</v>
      </c>
      <c r="D425" s="2889"/>
      <c r="E425" s="2889"/>
      <c r="F425" s="2890"/>
      <c r="G425" s="2888" t="s">
        <v>676</v>
      </c>
      <c r="H425" s="2890"/>
      <c r="I425" s="2888" t="s">
        <v>676</v>
      </c>
      <c r="J425" s="2890"/>
      <c r="K425" s="2271" t="s">
        <v>676</v>
      </c>
      <c r="L425" s="2271" t="s">
        <v>676</v>
      </c>
      <c r="M425" s="2271" t="s">
        <v>676</v>
      </c>
      <c r="N425" s="2272" t="s">
        <v>676</v>
      </c>
      <c r="O425" s="2270" t="s">
        <v>2769</v>
      </c>
      <c r="P425" s="2270">
        <v>0</v>
      </c>
      <c r="Q425" s="2271" t="s">
        <v>676</v>
      </c>
      <c r="R425" s="2271" t="s">
        <v>676</v>
      </c>
      <c r="S425" s="2271" t="s">
        <v>676</v>
      </c>
      <c r="T425" s="2271" t="s">
        <v>676</v>
      </c>
    </row>
    <row r="426" spans="1:20" ht="15">
      <c r="A426" s="2265"/>
      <c r="B426" s="2271" t="s">
        <v>676</v>
      </c>
      <c r="C426" s="2891" t="s">
        <v>676</v>
      </c>
      <c r="D426" s="2889"/>
      <c r="E426" s="2889"/>
      <c r="F426" s="2890"/>
      <c r="G426" s="2892" t="s">
        <v>676</v>
      </c>
      <c r="H426" s="2889"/>
      <c r="I426" s="2888" t="s">
        <v>676</v>
      </c>
      <c r="J426" s="2890"/>
      <c r="K426" s="2271" t="s">
        <v>676</v>
      </c>
      <c r="L426" s="2271" t="s">
        <v>676</v>
      </c>
      <c r="M426" s="2271" t="s">
        <v>676</v>
      </c>
      <c r="N426" s="2272" t="s">
        <v>676</v>
      </c>
      <c r="O426" s="2270" t="s">
        <v>2770</v>
      </c>
      <c r="P426" s="2270">
        <v>0</v>
      </c>
      <c r="Q426" s="2271" t="s">
        <v>676</v>
      </c>
      <c r="R426" s="2271" t="s">
        <v>676</v>
      </c>
      <c r="S426" s="2271" t="s">
        <v>676</v>
      </c>
      <c r="T426" s="2271" t="s">
        <v>676</v>
      </c>
    </row>
    <row r="427" spans="1:20" ht="135">
      <c r="A427" s="2265"/>
      <c r="B427" s="2268">
        <v>7</v>
      </c>
      <c r="C427" s="2882" t="s">
        <v>2869</v>
      </c>
      <c r="D427" s="2883"/>
      <c r="E427" s="2883"/>
      <c r="F427" s="2884"/>
      <c r="G427" s="2882" t="s">
        <v>1167</v>
      </c>
      <c r="H427" s="2884"/>
      <c r="I427" s="2882" t="s">
        <v>2762</v>
      </c>
      <c r="J427" s="2884"/>
      <c r="K427" s="2268" t="s">
        <v>2763</v>
      </c>
      <c r="L427" s="2268" t="s">
        <v>2764</v>
      </c>
      <c r="M427" s="2268" t="s">
        <v>2765</v>
      </c>
      <c r="N427" s="2269">
        <v>83333</v>
      </c>
      <c r="O427" s="2270" t="s">
        <v>2766</v>
      </c>
      <c r="P427" s="2270">
        <v>83333</v>
      </c>
      <c r="Q427" s="2268"/>
      <c r="R427" s="2268" t="s">
        <v>2868</v>
      </c>
      <c r="S427" s="2268" t="s">
        <v>2768</v>
      </c>
      <c r="T427" s="2268"/>
    </row>
    <row r="428" spans="1:20" ht="15">
      <c r="A428" s="2265"/>
      <c r="B428" s="2271" t="s">
        <v>676</v>
      </c>
      <c r="C428" s="2888" t="s">
        <v>676</v>
      </c>
      <c r="D428" s="2889"/>
      <c r="E428" s="2889"/>
      <c r="F428" s="2890"/>
      <c r="G428" s="2888" t="s">
        <v>676</v>
      </c>
      <c r="H428" s="2890"/>
      <c r="I428" s="2888" t="s">
        <v>676</v>
      </c>
      <c r="J428" s="2890"/>
      <c r="K428" s="2271" t="s">
        <v>676</v>
      </c>
      <c r="L428" s="2271" t="s">
        <v>676</v>
      </c>
      <c r="M428" s="2271" t="s">
        <v>676</v>
      </c>
      <c r="N428" s="2272" t="s">
        <v>676</v>
      </c>
      <c r="O428" s="2270" t="s">
        <v>2769</v>
      </c>
      <c r="P428" s="2270">
        <v>0</v>
      </c>
      <c r="Q428" s="2271" t="s">
        <v>676</v>
      </c>
      <c r="R428" s="2271" t="s">
        <v>676</v>
      </c>
      <c r="S428" s="2271" t="s">
        <v>676</v>
      </c>
      <c r="T428" s="2271" t="s">
        <v>676</v>
      </c>
    </row>
    <row r="429" spans="1:20" ht="15">
      <c r="A429" s="2265"/>
      <c r="B429" s="2271" t="s">
        <v>676</v>
      </c>
      <c r="C429" s="2891" t="s">
        <v>676</v>
      </c>
      <c r="D429" s="2889"/>
      <c r="E429" s="2889"/>
      <c r="F429" s="2890"/>
      <c r="G429" s="2892" t="s">
        <v>676</v>
      </c>
      <c r="H429" s="2889"/>
      <c r="I429" s="2888" t="s">
        <v>676</v>
      </c>
      <c r="J429" s="2890"/>
      <c r="K429" s="2271" t="s">
        <v>676</v>
      </c>
      <c r="L429" s="2271" t="s">
        <v>676</v>
      </c>
      <c r="M429" s="2271" t="s">
        <v>676</v>
      </c>
      <c r="N429" s="2272" t="s">
        <v>676</v>
      </c>
      <c r="O429" s="2270" t="s">
        <v>2770</v>
      </c>
      <c r="P429" s="2270">
        <v>0</v>
      </c>
      <c r="Q429" s="2271" t="s">
        <v>676</v>
      </c>
      <c r="R429" s="2271" t="s">
        <v>676</v>
      </c>
      <c r="S429" s="2271" t="s">
        <v>676</v>
      </c>
      <c r="T429" s="2271" t="s">
        <v>676</v>
      </c>
    </row>
    <row r="430" spans="1:20" ht="135">
      <c r="A430" s="2265"/>
      <c r="B430" s="2268">
        <v>8</v>
      </c>
      <c r="C430" s="2882" t="s">
        <v>2870</v>
      </c>
      <c r="D430" s="2883"/>
      <c r="E430" s="2883"/>
      <c r="F430" s="2884"/>
      <c r="G430" s="2882" t="s">
        <v>2871</v>
      </c>
      <c r="H430" s="2884"/>
      <c r="I430" s="2882" t="s">
        <v>2762</v>
      </c>
      <c r="J430" s="2884"/>
      <c r="K430" s="2268" t="s">
        <v>2763</v>
      </c>
      <c r="L430" s="2268" t="s">
        <v>2764</v>
      </c>
      <c r="M430" s="2268" t="s">
        <v>2765</v>
      </c>
      <c r="N430" s="2269">
        <v>83333</v>
      </c>
      <c r="O430" s="2270" t="s">
        <v>2766</v>
      </c>
      <c r="P430" s="2270">
        <v>83333</v>
      </c>
      <c r="Q430" s="2268"/>
      <c r="R430" s="2268" t="s">
        <v>630</v>
      </c>
      <c r="S430" s="2268" t="s">
        <v>2768</v>
      </c>
      <c r="T430" s="2268"/>
    </row>
    <row r="431" spans="1:20" ht="15">
      <c r="A431" s="2265"/>
      <c r="B431" s="2271" t="s">
        <v>676</v>
      </c>
      <c r="C431" s="2888" t="s">
        <v>676</v>
      </c>
      <c r="D431" s="2889"/>
      <c r="E431" s="2889"/>
      <c r="F431" s="2890"/>
      <c r="G431" s="2888" t="s">
        <v>676</v>
      </c>
      <c r="H431" s="2890"/>
      <c r="I431" s="2888" t="s">
        <v>676</v>
      </c>
      <c r="J431" s="2890"/>
      <c r="K431" s="2271" t="s">
        <v>676</v>
      </c>
      <c r="L431" s="2271" t="s">
        <v>676</v>
      </c>
      <c r="M431" s="2271" t="s">
        <v>676</v>
      </c>
      <c r="N431" s="2272" t="s">
        <v>676</v>
      </c>
      <c r="O431" s="2270" t="s">
        <v>2769</v>
      </c>
      <c r="P431" s="2270">
        <v>0</v>
      </c>
      <c r="Q431" s="2271" t="s">
        <v>676</v>
      </c>
      <c r="R431" s="2271" t="s">
        <v>676</v>
      </c>
      <c r="S431" s="2271" t="s">
        <v>676</v>
      </c>
      <c r="T431" s="2271" t="s">
        <v>676</v>
      </c>
    </row>
    <row r="432" spans="1:20" ht="15">
      <c r="A432" s="2265"/>
      <c r="B432" s="2271" t="s">
        <v>676</v>
      </c>
      <c r="C432" s="2891" t="s">
        <v>676</v>
      </c>
      <c r="D432" s="2889"/>
      <c r="E432" s="2889"/>
      <c r="F432" s="2890"/>
      <c r="G432" s="2892" t="s">
        <v>676</v>
      </c>
      <c r="H432" s="2889"/>
      <c r="I432" s="2888" t="s">
        <v>676</v>
      </c>
      <c r="J432" s="2890"/>
      <c r="K432" s="2271" t="s">
        <v>676</v>
      </c>
      <c r="L432" s="2271" t="s">
        <v>676</v>
      </c>
      <c r="M432" s="2271" t="s">
        <v>676</v>
      </c>
      <c r="N432" s="2272" t="s">
        <v>676</v>
      </c>
      <c r="O432" s="2270" t="s">
        <v>2770</v>
      </c>
      <c r="P432" s="2270">
        <v>0</v>
      </c>
      <c r="Q432" s="2271" t="s">
        <v>676</v>
      </c>
      <c r="R432" s="2271" t="s">
        <v>676</v>
      </c>
      <c r="S432" s="2271" t="s">
        <v>676</v>
      </c>
      <c r="T432" s="2271" t="s">
        <v>676</v>
      </c>
    </row>
    <row r="433" spans="1:20" ht="135">
      <c r="A433" s="2265"/>
      <c r="B433" s="2268">
        <v>9</v>
      </c>
      <c r="C433" s="2882" t="s">
        <v>2872</v>
      </c>
      <c r="D433" s="2883"/>
      <c r="E433" s="2883"/>
      <c r="F433" s="2884"/>
      <c r="G433" s="2882" t="s">
        <v>1183</v>
      </c>
      <c r="H433" s="2884"/>
      <c r="I433" s="2882" t="s">
        <v>2762</v>
      </c>
      <c r="J433" s="2884"/>
      <c r="K433" s="2268" t="s">
        <v>2763</v>
      </c>
      <c r="L433" s="2268" t="s">
        <v>2775</v>
      </c>
      <c r="M433" s="2268" t="s">
        <v>2765</v>
      </c>
      <c r="N433" s="2269">
        <v>83333</v>
      </c>
      <c r="O433" s="2270" t="s">
        <v>2766</v>
      </c>
      <c r="P433" s="2270">
        <v>83333</v>
      </c>
      <c r="Q433" s="2268"/>
      <c r="R433" s="2268" t="s">
        <v>2868</v>
      </c>
      <c r="S433" s="2268" t="s">
        <v>2768</v>
      </c>
      <c r="T433" s="2268"/>
    </row>
    <row r="434" spans="1:20" ht="15">
      <c r="A434" s="2265"/>
      <c r="B434" s="2271" t="s">
        <v>676</v>
      </c>
      <c r="C434" s="2888" t="s">
        <v>676</v>
      </c>
      <c r="D434" s="2889"/>
      <c r="E434" s="2889"/>
      <c r="F434" s="2890"/>
      <c r="G434" s="2888" t="s">
        <v>676</v>
      </c>
      <c r="H434" s="2890"/>
      <c r="I434" s="2888" t="s">
        <v>676</v>
      </c>
      <c r="J434" s="2890"/>
      <c r="K434" s="2271" t="s">
        <v>676</v>
      </c>
      <c r="L434" s="2271" t="s">
        <v>676</v>
      </c>
      <c r="M434" s="2271" t="s">
        <v>676</v>
      </c>
      <c r="N434" s="2272" t="s">
        <v>676</v>
      </c>
      <c r="O434" s="2270" t="s">
        <v>2769</v>
      </c>
      <c r="P434" s="2270">
        <v>0</v>
      </c>
      <c r="Q434" s="2271" t="s">
        <v>676</v>
      </c>
      <c r="R434" s="2271" t="s">
        <v>676</v>
      </c>
      <c r="S434" s="2271" t="s">
        <v>676</v>
      </c>
      <c r="T434" s="2271" t="s">
        <v>676</v>
      </c>
    </row>
    <row r="435" spans="1:20" ht="15">
      <c r="A435" s="2265"/>
      <c r="B435" s="2271" t="s">
        <v>676</v>
      </c>
      <c r="C435" s="2891" t="s">
        <v>676</v>
      </c>
      <c r="D435" s="2889"/>
      <c r="E435" s="2889"/>
      <c r="F435" s="2890"/>
      <c r="G435" s="2892" t="s">
        <v>676</v>
      </c>
      <c r="H435" s="2889"/>
      <c r="I435" s="2888" t="s">
        <v>676</v>
      </c>
      <c r="J435" s="2890"/>
      <c r="K435" s="2271" t="s">
        <v>676</v>
      </c>
      <c r="L435" s="2271" t="s">
        <v>676</v>
      </c>
      <c r="M435" s="2271" t="s">
        <v>676</v>
      </c>
      <c r="N435" s="2272" t="s">
        <v>676</v>
      </c>
      <c r="O435" s="2270" t="s">
        <v>2770</v>
      </c>
      <c r="P435" s="2270">
        <v>0</v>
      </c>
      <c r="Q435" s="2271" t="s">
        <v>676</v>
      </c>
      <c r="R435" s="2271" t="s">
        <v>676</v>
      </c>
      <c r="S435" s="2271" t="s">
        <v>676</v>
      </c>
      <c r="T435" s="2271" t="s">
        <v>676</v>
      </c>
    </row>
    <row r="436" spans="1:20" ht="165">
      <c r="A436" s="2265"/>
      <c r="B436" s="2268">
        <v>10</v>
      </c>
      <c r="C436" s="2882" t="s">
        <v>2873</v>
      </c>
      <c r="D436" s="2883"/>
      <c r="E436" s="2883"/>
      <c r="F436" s="2884"/>
      <c r="G436" s="2882" t="s">
        <v>1183</v>
      </c>
      <c r="H436" s="2884"/>
      <c r="I436" s="2882" t="s">
        <v>2762</v>
      </c>
      <c r="J436" s="2884"/>
      <c r="K436" s="2268" t="s">
        <v>2763</v>
      </c>
      <c r="L436" s="2268" t="s">
        <v>2775</v>
      </c>
      <c r="M436" s="2268" t="s">
        <v>2798</v>
      </c>
      <c r="N436" s="2269">
        <v>199600</v>
      </c>
      <c r="O436" s="2270" t="s">
        <v>2766</v>
      </c>
      <c r="P436" s="2270">
        <v>199600</v>
      </c>
      <c r="Q436" s="2268"/>
      <c r="R436" s="2268" t="s">
        <v>2799</v>
      </c>
      <c r="S436" s="2268" t="s">
        <v>2768</v>
      </c>
      <c r="T436" s="2268"/>
    </row>
    <row r="437" spans="1:20" ht="15">
      <c r="A437" s="2265"/>
      <c r="B437" s="2271" t="s">
        <v>676</v>
      </c>
      <c r="C437" s="2888" t="s">
        <v>676</v>
      </c>
      <c r="D437" s="2889"/>
      <c r="E437" s="2889"/>
      <c r="F437" s="2890"/>
      <c r="G437" s="2888" t="s">
        <v>676</v>
      </c>
      <c r="H437" s="2890"/>
      <c r="I437" s="2888" t="s">
        <v>676</v>
      </c>
      <c r="J437" s="2890"/>
      <c r="K437" s="2271" t="s">
        <v>676</v>
      </c>
      <c r="L437" s="2271" t="s">
        <v>676</v>
      </c>
      <c r="M437" s="2271" t="s">
        <v>676</v>
      </c>
      <c r="N437" s="2272" t="s">
        <v>676</v>
      </c>
      <c r="O437" s="2270" t="s">
        <v>2769</v>
      </c>
      <c r="P437" s="2270">
        <v>0</v>
      </c>
      <c r="Q437" s="2271" t="s">
        <v>676</v>
      </c>
      <c r="R437" s="2271" t="s">
        <v>676</v>
      </c>
      <c r="S437" s="2271" t="s">
        <v>676</v>
      </c>
      <c r="T437" s="2271" t="s">
        <v>676</v>
      </c>
    </row>
    <row r="438" spans="1:20" ht="15">
      <c r="A438" s="2265"/>
      <c r="B438" s="2273" t="s">
        <v>676</v>
      </c>
      <c r="C438" s="2896" t="s">
        <v>676</v>
      </c>
      <c r="D438" s="2942"/>
      <c r="E438" s="2942"/>
      <c r="F438" s="2943"/>
      <c r="G438" s="2899" t="s">
        <v>676</v>
      </c>
      <c r="H438" s="2942"/>
      <c r="I438" s="2900" t="s">
        <v>676</v>
      </c>
      <c r="J438" s="2943"/>
      <c r="K438" s="2273" t="s">
        <v>676</v>
      </c>
      <c r="L438" s="2273" t="s">
        <v>676</v>
      </c>
      <c r="M438" s="2273" t="s">
        <v>676</v>
      </c>
      <c r="N438" s="2274" t="s">
        <v>676</v>
      </c>
      <c r="O438" s="2270" t="s">
        <v>2770</v>
      </c>
      <c r="P438" s="2270">
        <v>0</v>
      </c>
      <c r="Q438" s="2273" t="s">
        <v>676</v>
      </c>
      <c r="R438" s="2273" t="s">
        <v>676</v>
      </c>
      <c r="S438" s="2273" t="s">
        <v>676</v>
      </c>
      <c r="T438" s="2273" t="s">
        <v>676</v>
      </c>
    </row>
    <row r="439" spans="1:20" ht="30">
      <c r="A439" s="2286"/>
      <c r="B439" s="2287" t="s">
        <v>82</v>
      </c>
      <c r="C439" s="2288"/>
      <c r="D439" s="2289"/>
      <c r="E439" s="2289"/>
      <c r="F439" s="2289"/>
      <c r="G439" s="2289"/>
      <c r="H439" s="2289"/>
      <c r="I439" s="2289"/>
      <c r="J439" s="2289"/>
      <c r="K439" s="2289"/>
      <c r="L439" s="2289"/>
      <c r="M439" s="2289"/>
      <c r="N439" s="2289">
        <f>SUM(N409:N438)</f>
        <v>2968552</v>
      </c>
      <c r="O439" s="2290"/>
      <c r="P439" s="2290">
        <f>SUM(P409:P438)</f>
        <v>2968552</v>
      </c>
      <c r="Q439" s="2290"/>
      <c r="R439" s="2290"/>
      <c r="S439" s="2290"/>
      <c r="T439" s="2291"/>
    </row>
    <row r="440" spans="1:20" ht="20.25">
      <c r="A440" s="2280"/>
      <c r="B440" s="2280"/>
      <c r="C440" s="2280"/>
      <c r="D440" s="2280"/>
      <c r="E440" s="2280"/>
      <c r="F440" s="2280"/>
      <c r="G440" s="2280"/>
      <c r="H440" s="2280"/>
      <c r="I440" s="2280"/>
      <c r="J440" s="2282"/>
      <c r="K440" s="2282"/>
      <c r="L440" s="2282"/>
      <c r="M440" s="2283"/>
      <c r="N440" s="2282"/>
      <c r="O440" s="2284" t="s">
        <v>2789</v>
      </c>
      <c r="P440" s="2282"/>
      <c r="Q440" s="2282"/>
      <c r="R440" s="2282"/>
      <c r="S440" s="2282"/>
      <c r="T440" s="2282"/>
    </row>
    <row r="441" spans="1:20" ht="20.25">
      <c r="A441" s="2282"/>
      <c r="B441" s="2282"/>
      <c r="C441" s="2282"/>
      <c r="D441" s="2282"/>
      <c r="E441" s="2282"/>
      <c r="F441" s="2282"/>
      <c r="G441" s="2282"/>
      <c r="H441" s="2282"/>
      <c r="I441" s="2282"/>
      <c r="J441" s="2282"/>
      <c r="K441" s="2282"/>
      <c r="L441" s="2282"/>
      <c r="M441" s="2283"/>
      <c r="N441" s="2282"/>
      <c r="O441" s="2284" t="s">
        <v>2790</v>
      </c>
      <c r="P441" s="2282"/>
      <c r="Q441" s="2282"/>
      <c r="R441" s="2282"/>
      <c r="S441" s="2282"/>
      <c r="T441" s="2282"/>
    </row>
    <row r="442" spans="1:20" ht="23.25">
      <c r="A442" s="2985" t="s">
        <v>2749</v>
      </c>
      <c r="B442" s="2987"/>
      <c r="C442" s="2987"/>
      <c r="D442" s="2987"/>
      <c r="E442" s="2987"/>
      <c r="F442" s="2987"/>
      <c r="G442" s="2987"/>
      <c r="H442" s="2261"/>
      <c r="I442" s="2261"/>
      <c r="J442" s="2261"/>
      <c r="K442" s="2261"/>
      <c r="L442" s="2261"/>
      <c r="M442" s="2262"/>
      <c r="N442" s="2263"/>
      <c r="O442" s="2263"/>
      <c r="P442" s="2263"/>
      <c r="Q442" s="2261"/>
      <c r="R442" s="2261"/>
      <c r="S442" s="2261"/>
      <c r="T442" s="2261"/>
    </row>
    <row r="443" spans="1:20" ht="15">
      <c r="A443" s="2960" t="s">
        <v>653</v>
      </c>
      <c r="B443" s="2988"/>
      <c r="C443" s="2988"/>
      <c r="D443" s="2261"/>
      <c r="E443" s="2264">
        <v>2020</v>
      </c>
      <c r="F443" s="2261"/>
      <c r="G443" s="2261"/>
      <c r="H443" s="2261"/>
      <c r="I443" s="2261"/>
      <c r="J443" s="2261"/>
      <c r="K443" s="2261"/>
      <c r="L443" s="2261"/>
      <c r="M443" s="2262"/>
      <c r="N443" s="2263"/>
      <c r="O443" s="2263"/>
      <c r="P443" s="2263"/>
      <c r="Q443" s="2261"/>
      <c r="R443" s="2261"/>
      <c r="S443" s="2261"/>
      <c r="T443" s="2261"/>
    </row>
    <row r="444" spans="1:20" ht="15">
      <c r="A444" s="2960" t="s">
        <v>655</v>
      </c>
      <c r="B444" s="2988"/>
      <c r="C444" s="2988"/>
      <c r="D444" s="2261"/>
      <c r="E444" s="2961" t="s">
        <v>2874</v>
      </c>
      <c r="F444" s="2988"/>
      <c r="G444" s="2988"/>
      <c r="H444" s="2988"/>
      <c r="I444" s="2988"/>
      <c r="J444" s="2261"/>
      <c r="K444" s="2261"/>
      <c r="L444" s="2261"/>
      <c r="M444" s="2262"/>
      <c r="N444" s="2263"/>
      <c r="O444" s="2263"/>
      <c r="P444" s="2263"/>
      <c r="Q444" s="2261"/>
      <c r="R444" s="2261"/>
      <c r="S444" s="2261"/>
      <c r="T444" s="2261"/>
    </row>
    <row r="445" spans="1:20" ht="126">
      <c r="A445" s="2265"/>
      <c r="B445" s="2266" t="s">
        <v>657</v>
      </c>
      <c r="C445" s="2893" t="s">
        <v>587</v>
      </c>
      <c r="D445" s="2894"/>
      <c r="E445" s="2894"/>
      <c r="F445" s="2895"/>
      <c r="G445" s="2893" t="s">
        <v>2751</v>
      </c>
      <c r="H445" s="2895"/>
      <c r="I445" s="2893" t="s">
        <v>2752</v>
      </c>
      <c r="J445" s="2895"/>
      <c r="K445" s="2266" t="s">
        <v>2753</v>
      </c>
      <c r="L445" s="2266" t="s">
        <v>2754</v>
      </c>
      <c r="M445" s="2266" t="s">
        <v>2755</v>
      </c>
      <c r="N445" s="2267" t="s">
        <v>2756</v>
      </c>
      <c r="O445" s="2267" t="s">
        <v>2757</v>
      </c>
      <c r="P445" s="2267" t="s">
        <v>2758</v>
      </c>
      <c r="Q445" s="2266" t="s">
        <v>623</v>
      </c>
      <c r="R445" s="2266" t="s">
        <v>2759</v>
      </c>
      <c r="S445" s="2266" t="s">
        <v>2760</v>
      </c>
      <c r="T445" s="2266" t="s">
        <v>2761</v>
      </c>
    </row>
    <row r="446" spans="1:20" ht="135">
      <c r="A446" s="2265"/>
      <c r="B446" s="2268">
        <v>1</v>
      </c>
      <c r="C446" s="2882" t="s">
        <v>2875</v>
      </c>
      <c r="D446" s="2883"/>
      <c r="E446" s="2883"/>
      <c r="F446" s="2884"/>
      <c r="G446" s="2882" t="s">
        <v>2876</v>
      </c>
      <c r="H446" s="2884"/>
      <c r="I446" s="2882" t="s">
        <v>2762</v>
      </c>
      <c r="J446" s="2884"/>
      <c r="K446" s="2268" t="s">
        <v>2763</v>
      </c>
      <c r="L446" s="2268" t="s">
        <v>2775</v>
      </c>
      <c r="M446" s="2268" t="s">
        <v>2765</v>
      </c>
      <c r="N446" s="2269">
        <v>100000</v>
      </c>
      <c r="O446" s="2270" t="s">
        <v>2766</v>
      </c>
      <c r="P446" s="2270">
        <v>100000</v>
      </c>
      <c r="Q446" s="2268"/>
      <c r="R446" s="2268" t="s">
        <v>2767</v>
      </c>
      <c r="S446" s="2268" t="s">
        <v>2768</v>
      </c>
      <c r="T446" s="2268"/>
    </row>
    <row r="447" spans="1:20" ht="15">
      <c r="A447" s="2265"/>
      <c r="B447" s="2271" t="s">
        <v>676</v>
      </c>
      <c r="C447" s="2888" t="s">
        <v>676</v>
      </c>
      <c r="D447" s="2889"/>
      <c r="E447" s="2889"/>
      <c r="F447" s="2890"/>
      <c r="G447" s="2888" t="s">
        <v>676</v>
      </c>
      <c r="H447" s="2890"/>
      <c r="I447" s="2888" t="s">
        <v>676</v>
      </c>
      <c r="J447" s="2890"/>
      <c r="K447" s="2271" t="s">
        <v>676</v>
      </c>
      <c r="L447" s="2271" t="s">
        <v>676</v>
      </c>
      <c r="M447" s="2271" t="s">
        <v>676</v>
      </c>
      <c r="N447" s="2272" t="s">
        <v>676</v>
      </c>
      <c r="O447" s="2270" t="s">
        <v>2769</v>
      </c>
      <c r="P447" s="2270">
        <v>0</v>
      </c>
      <c r="Q447" s="2271" t="s">
        <v>676</v>
      </c>
      <c r="R447" s="2271" t="s">
        <v>676</v>
      </c>
      <c r="S447" s="2271" t="s">
        <v>676</v>
      </c>
      <c r="T447" s="2271" t="s">
        <v>676</v>
      </c>
    </row>
    <row r="448" spans="1:20" ht="15">
      <c r="A448" s="2265"/>
      <c r="B448" s="2271" t="s">
        <v>676</v>
      </c>
      <c r="C448" s="2891" t="s">
        <v>676</v>
      </c>
      <c r="D448" s="2889"/>
      <c r="E448" s="2889"/>
      <c r="F448" s="2890"/>
      <c r="G448" s="2892" t="s">
        <v>676</v>
      </c>
      <c r="H448" s="2889"/>
      <c r="I448" s="2888" t="s">
        <v>676</v>
      </c>
      <c r="J448" s="2890"/>
      <c r="K448" s="2271" t="s">
        <v>676</v>
      </c>
      <c r="L448" s="2271" t="s">
        <v>676</v>
      </c>
      <c r="M448" s="2271" t="s">
        <v>676</v>
      </c>
      <c r="N448" s="2272" t="s">
        <v>676</v>
      </c>
      <c r="O448" s="2270" t="s">
        <v>2770</v>
      </c>
      <c r="P448" s="2270">
        <v>0</v>
      </c>
      <c r="Q448" s="2271" t="s">
        <v>676</v>
      </c>
      <c r="R448" s="2271" t="s">
        <v>676</v>
      </c>
      <c r="S448" s="2271" t="s">
        <v>676</v>
      </c>
      <c r="T448" s="2271" t="s">
        <v>676</v>
      </c>
    </row>
    <row r="449" spans="1:20" ht="135">
      <c r="A449" s="2265"/>
      <c r="B449" s="2268">
        <v>2</v>
      </c>
      <c r="C449" s="2882" t="s">
        <v>2877</v>
      </c>
      <c r="D449" s="2883"/>
      <c r="E449" s="2883"/>
      <c r="F449" s="2884"/>
      <c r="G449" s="2882" t="s">
        <v>2878</v>
      </c>
      <c r="H449" s="2884"/>
      <c r="I449" s="2882" t="s">
        <v>2762</v>
      </c>
      <c r="J449" s="2884"/>
      <c r="K449" s="2268" t="s">
        <v>2763</v>
      </c>
      <c r="L449" s="2268" t="s">
        <v>2764</v>
      </c>
      <c r="M449" s="2268" t="s">
        <v>2765</v>
      </c>
      <c r="N449" s="2269">
        <v>100000</v>
      </c>
      <c r="O449" s="2270" t="s">
        <v>2766</v>
      </c>
      <c r="P449" s="2270">
        <v>100000</v>
      </c>
      <c r="Q449" s="2268"/>
      <c r="R449" s="2268" t="s">
        <v>2767</v>
      </c>
      <c r="S449" s="2268" t="s">
        <v>2768</v>
      </c>
      <c r="T449" s="2268"/>
    </row>
    <row r="450" spans="1:20" ht="15">
      <c r="A450" s="2265"/>
      <c r="B450" s="2271" t="s">
        <v>676</v>
      </c>
      <c r="C450" s="2888" t="s">
        <v>676</v>
      </c>
      <c r="D450" s="2889"/>
      <c r="E450" s="2889"/>
      <c r="F450" s="2890"/>
      <c r="G450" s="2888" t="s">
        <v>676</v>
      </c>
      <c r="H450" s="2890"/>
      <c r="I450" s="2888" t="s">
        <v>676</v>
      </c>
      <c r="J450" s="2890"/>
      <c r="K450" s="2271" t="s">
        <v>676</v>
      </c>
      <c r="L450" s="2271" t="s">
        <v>676</v>
      </c>
      <c r="M450" s="2271" t="s">
        <v>676</v>
      </c>
      <c r="N450" s="2272" t="s">
        <v>676</v>
      </c>
      <c r="O450" s="2270" t="s">
        <v>2769</v>
      </c>
      <c r="P450" s="2270">
        <v>0</v>
      </c>
      <c r="Q450" s="2271" t="s">
        <v>676</v>
      </c>
      <c r="R450" s="2271" t="s">
        <v>676</v>
      </c>
      <c r="S450" s="2271" t="s">
        <v>676</v>
      </c>
      <c r="T450" s="2271" t="s">
        <v>676</v>
      </c>
    </row>
    <row r="451" spans="1:20" ht="15">
      <c r="A451" s="2265"/>
      <c r="B451" s="2271" t="s">
        <v>676</v>
      </c>
      <c r="C451" s="2891" t="s">
        <v>676</v>
      </c>
      <c r="D451" s="2889"/>
      <c r="E451" s="2889"/>
      <c r="F451" s="2890"/>
      <c r="G451" s="2892" t="s">
        <v>676</v>
      </c>
      <c r="H451" s="2889"/>
      <c r="I451" s="2888" t="s">
        <v>676</v>
      </c>
      <c r="J451" s="2890"/>
      <c r="K451" s="2271" t="s">
        <v>676</v>
      </c>
      <c r="L451" s="2271" t="s">
        <v>676</v>
      </c>
      <c r="M451" s="2271" t="s">
        <v>676</v>
      </c>
      <c r="N451" s="2272" t="s">
        <v>676</v>
      </c>
      <c r="O451" s="2270" t="s">
        <v>2770</v>
      </c>
      <c r="P451" s="2270">
        <v>0</v>
      </c>
      <c r="Q451" s="2271" t="s">
        <v>676</v>
      </c>
      <c r="R451" s="2271" t="s">
        <v>676</v>
      </c>
      <c r="S451" s="2271" t="s">
        <v>676</v>
      </c>
      <c r="T451" s="2271" t="s">
        <v>676</v>
      </c>
    </row>
    <row r="452" spans="1:20" ht="90">
      <c r="A452" s="2265"/>
      <c r="B452" s="2268">
        <v>3</v>
      </c>
      <c r="C452" s="2882" t="s">
        <v>2879</v>
      </c>
      <c r="D452" s="2883"/>
      <c r="E452" s="2883"/>
      <c r="F452" s="2884"/>
      <c r="G452" s="2882" t="s">
        <v>1167</v>
      </c>
      <c r="H452" s="2884"/>
      <c r="I452" s="2882" t="s">
        <v>2762</v>
      </c>
      <c r="J452" s="2884"/>
      <c r="K452" s="2268" t="s">
        <v>2763</v>
      </c>
      <c r="L452" s="2268" t="s">
        <v>2764</v>
      </c>
      <c r="M452" s="2268" t="s">
        <v>2776</v>
      </c>
      <c r="N452" s="2269">
        <v>583000</v>
      </c>
      <c r="O452" s="2270" t="s">
        <v>2766</v>
      </c>
      <c r="P452" s="2270">
        <v>583000</v>
      </c>
      <c r="Q452" s="2268" t="s">
        <v>688</v>
      </c>
      <c r="R452" s="2268" t="s">
        <v>2799</v>
      </c>
      <c r="S452" s="2268" t="s">
        <v>2768</v>
      </c>
      <c r="T452" s="2268"/>
    </row>
    <row r="453" spans="1:20" ht="15">
      <c r="A453" s="2265"/>
      <c r="B453" s="2271" t="s">
        <v>676</v>
      </c>
      <c r="C453" s="2888" t="s">
        <v>676</v>
      </c>
      <c r="D453" s="2889"/>
      <c r="E453" s="2889"/>
      <c r="F453" s="2890"/>
      <c r="G453" s="2888" t="s">
        <v>676</v>
      </c>
      <c r="H453" s="2890"/>
      <c r="I453" s="2888" t="s">
        <v>676</v>
      </c>
      <c r="J453" s="2890"/>
      <c r="K453" s="2271" t="s">
        <v>676</v>
      </c>
      <c r="L453" s="2271" t="s">
        <v>676</v>
      </c>
      <c r="M453" s="2271" t="s">
        <v>676</v>
      </c>
      <c r="N453" s="2272" t="s">
        <v>676</v>
      </c>
      <c r="O453" s="2270" t="s">
        <v>2769</v>
      </c>
      <c r="P453" s="2270">
        <v>0</v>
      </c>
      <c r="Q453" s="2271" t="s">
        <v>676</v>
      </c>
      <c r="R453" s="2271" t="s">
        <v>676</v>
      </c>
      <c r="S453" s="2271" t="s">
        <v>676</v>
      </c>
      <c r="T453" s="2271" t="s">
        <v>676</v>
      </c>
    </row>
    <row r="454" spans="1:20" ht="15">
      <c r="A454" s="2265"/>
      <c r="B454" s="2271" t="s">
        <v>676</v>
      </c>
      <c r="C454" s="2891" t="s">
        <v>676</v>
      </c>
      <c r="D454" s="2889"/>
      <c r="E454" s="2889"/>
      <c r="F454" s="2890"/>
      <c r="G454" s="2892" t="s">
        <v>676</v>
      </c>
      <c r="H454" s="2889"/>
      <c r="I454" s="2888" t="s">
        <v>676</v>
      </c>
      <c r="J454" s="2890"/>
      <c r="K454" s="2271" t="s">
        <v>676</v>
      </c>
      <c r="L454" s="2271" t="s">
        <v>676</v>
      </c>
      <c r="M454" s="2271" t="s">
        <v>676</v>
      </c>
      <c r="N454" s="2272" t="s">
        <v>676</v>
      </c>
      <c r="O454" s="2270" t="s">
        <v>2770</v>
      </c>
      <c r="P454" s="2270">
        <v>0</v>
      </c>
      <c r="Q454" s="2271" t="s">
        <v>676</v>
      </c>
      <c r="R454" s="2271" t="s">
        <v>676</v>
      </c>
      <c r="S454" s="2271" t="s">
        <v>676</v>
      </c>
      <c r="T454" s="2271" t="s">
        <v>676</v>
      </c>
    </row>
    <row r="455" spans="1:20" ht="135">
      <c r="A455" s="2265"/>
      <c r="B455" s="2268">
        <v>4</v>
      </c>
      <c r="C455" s="2882" t="s">
        <v>2880</v>
      </c>
      <c r="D455" s="2883"/>
      <c r="E455" s="2883"/>
      <c r="F455" s="2884"/>
      <c r="G455" s="2882" t="s">
        <v>2881</v>
      </c>
      <c r="H455" s="2884"/>
      <c r="I455" s="2882" t="s">
        <v>2762</v>
      </c>
      <c r="J455" s="2884"/>
      <c r="K455" s="2268" t="s">
        <v>2763</v>
      </c>
      <c r="L455" s="2268" t="s">
        <v>2764</v>
      </c>
      <c r="M455" s="2268" t="s">
        <v>2765</v>
      </c>
      <c r="N455" s="2269">
        <v>100000</v>
      </c>
      <c r="O455" s="2270" t="s">
        <v>2766</v>
      </c>
      <c r="P455" s="2270">
        <v>100000</v>
      </c>
      <c r="Q455" s="2268"/>
      <c r="R455" s="2268" t="s">
        <v>2767</v>
      </c>
      <c r="S455" s="2268" t="s">
        <v>2768</v>
      </c>
      <c r="T455" s="2268"/>
    </row>
    <row r="456" spans="1:20" ht="15">
      <c r="A456" s="2265"/>
      <c r="B456" s="2271" t="s">
        <v>676</v>
      </c>
      <c r="C456" s="2888" t="s">
        <v>676</v>
      </c>
      <c r="D456" s="2889"/>
      <c r="E456" s="2889"/>
      <c r="F456" s="2890"/>
      <c r="G456" s="2888" t="s">
        <v>676</v>
      </c>
      <c r="H456" s="2890"/>
      <c r="I456" s="2888" t="s">
        <v>676</v>
      </c>
      <c r="J456" s="2890"/>
      <c r="K456" s="2271" t="s">
        <v>676</v>
      </c>
      <c r="L456" s="2271" t="s">
        <v>676</v>
      </c>
      <c r="M456" s="2271" t="s">
        <v>676</v>
      </c>
      <c r="N456" s="2272" t="s">
        <v>676</v>
      </c>
      <c r="O456" s="2270" t="s">
        <v>2769</v>
      </c>
      <c r="P456" s="2270">
        <v>0</v>
      </c>
      <c r="Q456" s="2271" t="s">
        <v>676</v>
      </c>
      <c r="R456" s="2271" t="s">
        <v>676</v>
      </c>
      <c r="S456" s="2271" t="s">
        <v>676</v>
      </c>
      <c r="T456" s="2271" t="s">
        <v>676</v>
      </c>
    </row>
    <row r="457" spans="1:20" ht="15">
      <c r="A457" s="2265"/>
      <c r="B457" s="2271" t="s">
        <v>676</v>
      </c>
      <c r="C457" s="2891" t="s">
        <v>676</v>
      </c>
      <c r="D457" s="2889"/>
      <c r="E457" s="2889"/>
      <c r="F457" s="2890"/>
      <c r="G457" s="2892" t="s">
        <v>676</v>
      </c>
      <c r="H457" s="2889"/>
      <c r="I457" s="2888" t="s">
        <v>676</v>
      </c>
      <c r="J457" s="2890"/>
      <c r="K457" s="2271" t="s">
        <v>676</v>
      </c>
      <c r="L457" s="2271" t="s">
        <v>676</v>
      </c>
      <c r="M457" s="2271" t="s">
        <v>676</v>
      </c>
      <c r="N457" s="2272" t="s">
        <v>676</v>
      </c>
      <c r="O457" s="2270" t="s">
        <v>2770</v>
      </c>
      <c r="P457" s="2270">
        <v>0</v>
      </c>
      <c r="Q457" s="2271" t="s">
        <v>676</v>
      </c>
      <c r="R457" s="2271" t="s">
        <v>676</v>
      </c>
      <c r="S457" s="2271" t="s">
        <v>676</v>
      </c>
      <c r="T457" s="2271" t="s">
        <v>676</v>
      </c>
    </row>
    <row r="458" spans="1:20" ht="135">
      <c r="A458" s="2265"/>
      <c r="B458" s="2268">
        <v>5</v>
      </c>
      <c r="C458" s="2882" t="s">
        <v>2882</v>
      </c>
      <c r="D458" s="2883"/>
      <c r="E458" s="2883"/>
      <c r="F458" s="2884"/>
      <c r="G458" s="2882" t="s">
        <v>2883</v>
      </c>
      <c r="H458" s="2884"/>
      <c r="I458" s="2882" t="s">
        <v>2762</v>
      </c>
      <c r="J458" s="2884"/>
      <c r="K458" s="2268" t="s">
        <v>2763</v>
      </c>
      <c r="L458" s="2268" t="s">
        <v>2764</v>
      </c>
      <c r="M458" s="2268" t="s">
        <v>2765</v>
      </c>
      <c r="N458" s="2269">
        <v>100000</v>
      </c>
      <c r="O458" s="2270" t="s">
        <v>2766</v>
      </c>
      <c r="P458" s="2270">
        <v>100000</v>
      </c>
      <c r="Q458" s="2268"/>
      <c r="R458" s="2268" t="s">
        <v>2767</v>
      </c>
      <c r="S458" s="2268" t="s">
        <v>2768</v>
      </c>
      <c r="T458" s="2268"/>
    </row>
    <row r="459" spans="1:20" ht="15">
      <c r="A459" s="2265"/>
      <c r="B459" s="2271" t="s">
        <v>676</v>
      </c>
      <c r="C459" s="2888" t="s">
        <v>676</v>
      </c>
      <c r="D459" s="2889"/>
      <c r="E459" s="2889"/>
      <c r="F459" s="2890"/>
      <c r="G459" s="2888" t="s">
        <v>676</v>
      </c>
      <c r="H459" s="2890"/>
      <c r="I459" s="2888" t="s">
        <v>676</v>
      </c>
      <c r="J459" s="2890"/>
      <c r="K459" s="2271" t="s">
        <v>676</v>
      </c>
      <c r="L459" s="2271" t="s">
        <v>676</v>
      </c>
      <c r="M459" s="2271" t="s">
        <v>676</v>
      </c>
      <c r="N459" s="2272" t="s">
        <v>676</v>
      </c>
      <c r="O459" s="2270" t="s">
        <v>2769</v>
      </c>
      <c r="P459" s="2270">
        <v>0</v>
      </c>
      <c r="Q459" s="2271" t="s">
        <v>676</v>
      </c>
      <c r="R459" s="2271" t="s">
        <v>676</v>
      </c>
      <c r="S459" s="2271" t="s">
        <v>676</v>
      </c>
      <c r="T459" s="2271" t="s">
        <v>676</v>
      </c>
    </row>
    <row r="460" spans="1:20" ht="15">
      <c r="A460" s="2265"/>
      <c r="B460" s="2271" t="s">
        <v>676</v>
      </c>
      <c r="C460" s="2891" t="s">
        <v>676</v>
      </c>
      <c r="D460" s="2889"/>
      <c r="E460" s="2889"/>
      <c r="F460" s="2890"/>
      <c r="G460" s="2892" t="s">
        <v>676</v>
      </c>
      <c r="H460" s="2889"/>
      <c r="I460" s="2888" t="s">
        <v>676</v>
      </c>
      <c r="J460" s="2890"/>
      <c r="K460" s="2271" t="s">
        <v>676</v>
      </c>
      <c r="L460" s="2271" t="s">
        <v>676</v>
      </c>
      <c r="M460" s="2271" t="s">
        <v>676</v>
      </c>
      <c r="N460" s="2272" t="s">
        <v>676</v>
      </c>
      <c r="O460" s="2270" t="s">
        <v>2770</v>
      </c>
      <c r="P460" s="2270">
        <v>0</v>
      </c>
      <c r="Q460" s="2271" t="s">
        <v>676</v>
      </c>
      <c r="R460" s="2271" t="s">
        <v>676</v>
      </c>
      <c r="S460" s="2271" t="s">
        <v>676</v>
      </c>
      <c r="T460" s="2271" t="s">
        <v>676</v>
      </c>
    </row>
    <row r="461" spans="1:20" ht="135">
      <c r="A461" s="2265"/>
      <c r="B461" s="2268">
        <v>6</v>
      </c>
      <c r="C461" s="2882" t="s">
        <v>1542</v>
      </c>
      <c r="D461" s="2883"/>
      <c r="E461" s="2883"/>
      <c r="F461" s="2884"/>
      <c r="G461" s="2882" t="s">
        <v>1207</v>
      </c>
      <c r="H461" s="2884"/>
      <c r="I461" s="2882" t="s">
        <v>2762</v>
      </c>
      <c r="J461" s="2884"/>
      <c r="K461" s="2268" t="s">
        <v>2763</v>
      </c>
      <c r="L461" s="2268" t="s">
        <v>2775</v>
      </c>
      <c r="M461" s="2268" t="s">
        <v>2765</v>
      </c>
      <c r="N461" s="2269">
        <v>100000</v>
      </c>
      <c r="O461" s="2270" t="s">
        <v>2766</v>
      </c>
      <c r="P461" s="2270">
        <v>100000</v>
      </c>
      <c r="Q461" s="2268"/>
      <c r="R461" s="2268" t="s">
        <v>2767</v>
      </c>
      <c r="S461" s="2268" t="s">
        <v>2835</v>
      </c>
      <c r="T461" s="2268"/>
    </row>
    <row r="462" spans="1:20" ht="15">
      <c r="A462" s="2265"/>
      <c r="B462" s="2271" t="s">
        <v>676</v>
      </c>
      <c r="C462" s="2888" t="s">
        <v>676</v>
      </c>
      <c r="D462" s="2889"/>
      <c r="E462" s="2889"/>
      <c r="F462" s="2890"/>
      <c r="G462" s="2888" t="s">
        <v>676</v>
      </c>
      <c r="H462" s="2890"/>
      <c r="I462" s="2888" t="s">
        <v>676</v>
      </c>
      <c r="J462" s="2890"/>
      <c r="K462" s="2271" t="s">
        <v>676</v>
      </c>
      <c r="L462" s="2271" t="s">
        <v>676</v>
      </c>
      <c r="M462" s="2271" t="s">
        <v>676</v>
      </c>
      <c r="N462" s="2272" t="s">
        <v>676</v>
      </c>
      <c r="O462" s="2270" t="s">
        <v>2769</v>
      </c>
      <c r="P462" s="2270">
        <v>0</v>
      </c>
      <c r="Q462" s="2271" t="s">
        <v>676</v>
      </c>
      <c r="R462" s="2271" t="s">
        <v>676</v>
      </c>
      <c r="S462" s="2271" t="s">
        <v>676</v>
      </c>
      <c r="T462" s="2271" t="s">
        <v>676</v>
      </c>
    </row>
    <row r="463" spans="1:20" ht="15">
      <c r="A463" s="2265"/>
      <c r="B463" s="2271" t="s">
        <v>676</v>
      </c>
      <c r="C463" s="2891" t="s">
        <v>676</v>
      </c>
      <c r="D463" s="2889"/>
      <c r="E463" s="2889"/>
      <c r="F463" s="2890"/>
      <c r="G463" s="2892" t="s">
        <v>676</v>
      </c>
      <c r="H463" s="2889"/>
      <c r="I463" s="2888" t="s">
        <v>676</v>
      </c>
      <c r="J463" s="2890"/>
      <c r="K463" s="2271" t="s">
        <v>676</v>
      </c>
      <c r="L463" s="2271" t="s">
        <v>676</v>
      </c>
      <c r="M463" s="2271" t="s">
        <v>676</v>
      </c>
      <c r="N463" s="2272" t="s">
        <v>676</v>
      </c>
      <c r="O463" s="2270" t="s">
        <v>2770</v>
      </c>
      <c r="P463" s="2270">
        <v>0</v>
      </c>
      <c r="Q463" s="2271" t="s">
        <v>676</v>
      </c>
      <c r="R463" s="2271" t="s">
        <v>676</v>
      </c>
      <c r="S463" s="2271" t="s">
        <v>676</v>
      </c>
      <c r="T463" s="2271" t="s">
        <v>676</v>
      </c>
    </row>
    <row r="464" spans="1:20" ht="135">
      <c r="A464" s="2265"/>
      <c r="B464" s="2268">
        <v>7</v>
      </c>
      <c r="C464" s="2882" t="s">
        <v>2884</v>
      </c>
      <c r="D464" s="2883"/>
      <c r="E464" s="2883"/>
      <c r="F464" s="2884"/>
      <c r="G464" s="2882" t="s">
        <v>2885</v>
      </c>
      <c r="H464" s="2884"/>
      <c r="I464" s="2882" t="s">
        <v>2762</v>
      </c>
      <c r="J464" s="2884"/>
      <c r="K464" s="2268" t="s">
        <v>2763</v>
      </c>
      <c r="L464" s="2268" t="s">
        <v>2775</v>
      </c>
      <c r="M464" s="2268" t="s">
        <v>2765</v>
      </c>
      <c r="N464" s="2269">
        <v>100000</v>
      </c>
      <c r="O464" s="2270" t="s">
        <v>2766</v>
      </c>
      <c r="P464" s="2270">
        <v>100000</v>
      </c>
      <c r="Q464" s="2268"/>
      <c r="R464" s="2268" t="s">
        <v>2767</v>
      </c>
      <c r="S464" s="2268" t="s">
        <v>2768</v>
      </c>
      <c r="T464" s="2268"/>
    </row>
    <row r="465" spans="1:20" ht="15">
      <c r="A465" s="2265"/>
      <c r="B465" s="2271" t="s">
        <v>676</v>
      </c>
      <c r="C465" s="2888" t="s">
        <v>676</v>
      </c>
      <c r="D465" s="2889"/>
      <c r="E465" s="2889"/>
      <c r="F465" s="2890"/>
      <c r="G465" s="2888" t="s">
        <v>676</v>
      </c>
      <c r="H465" s="2890"/>
      <c r="I465" s="2888" t="s">
        <v>676</v>
      </c>
      <c r="J465" s="2890"/>
      <c r="K465" s="2271" t="s">
        <v>676</v>
      </c>
      <c r="L465" s="2271" t="s">
        <v>676</v>
      </c>
      <c r="M465" s="2271" t="s">
        <v>676</v>
      </c>
      <c r="N465" s="2272" t="s">
        <v>676</v>
      </c>
      <c r="O465" s="2270" t="s">
        <v>2769</v>
      </c>
      <c r="P465" s="2270">
        <v>0</v>
      </c>
      <c r="Q465" s="2271" t="s">
        <v>676</v>
      </c>
      <c r="R465" s="2271" t="s">
        <v>676</v>
      </c>
      <c r="S465" s="2271" t="s">
        <v>676</v>
      </c>
      <c r="T465" s="2271" t="s">
        <v>676</v>
      </c>
    </row>
    <row r="466" spans="1:20" ht="15">
      <c r="A466" s="2265"/>
      <c r="B466" s="2271" t="s">
        <v>676</v>
      </c>
      <c r="C466" s="2891" t="s">
        <v>676</v>
      </c>
      <c r="D466" s="2889"/>
      <c r="E466" s="2889"/>
      <c r="F466" s="2890"/>
      <c r="G466" s="2892" t="s">
        <v>676</v>
      </c>
      <c r="H466" s="2889"/>
      <c r="I466" s="2888" t="s">
        <v>676</v>
      </c>
      <c r="J466" s="2890"/>
      <c r="K466" s="2271" t="s">
        <v>676</v>
      </c>
      <c r="L466" s="2271" t="s">
        <v>676</v>
      </c>
      <c r="M466" s="2271" t="s">
        <v>676</v>
      </c>
      <c r="N466" s="2272" t="s">
        <v>676</v>
      </c>
      <c r="O466" s="2270" t="s">
        <v>2770</v>
      </c>
      <c r="P466" s="2270">
        <v>0</v>
      </c>
      <c r="Q466" s="2271" t="s">
        <v>676</v>
      </c>
      <c r="R466" s="2271" t="s">
        <v>676</v>
      </c>
      <c r="S466" s="2271" t="s">
        <v>676</v>
      </c>
      <c r="T466" s="2271" t="s">
        <v>676</v>
      </c>
    </row>
    <row r="467" spans="1:20" ht="90">
      <c r="A467" s="2265"/>
      <c r="B467" s="2268">
        <v>8</v>
      </c>
      <c r="C467" s="2882" t="s">
        <v>2886</v>
      </c>
      <c r="D467" s="2883"/>
      <c r="E467" s="2883"/>
      <c r="F467" s="2884"/>
      <c r="G467" s="2882" t="s">
        <v>1020</v>
      </c>
      <c r="H467" s="2884"/>
      <c r="I467" s="2882" t="s">
        <v>2762</v>
      </c>
      <c r="J467" s="2884"/>
      <c r="K467" s="2268" t="s">
        <v>2763</v>
      </c>
      <c r="L467" s="2268" t="s">
        <v>2764</v>
      </c>
      <c r="M467" s="2268" t="s">
        <v>2776</v>
      </c>
      <c r="N467" s="2269">
        <v>200000</v>
      </c>
      <c r="O467" s="2270" t="s">
        <v>2766</v>
      </c>
      <c r="P467" s="2270">
        <v>200000</v>
      </c>
      <c r="Q467" s="2268" t="s">
        <v>688</v>
      </c>
      <c r="R467" s="2268" t="s">
        <v>2767</v>
      </c>
      <c r="S467" s="2268" t="s">
        <v>2768</v>
      </c>
      <c r="T467" s="2268"/>
    </row>
    <row r="468" spans="1:20" ht="15">
      <c r="A468" s="2265"/>
      <c r="B468" s="2271" t="s">
        <v>676</v>
      </c>
      <c r="C468" s="2888" t="s">
        <v>676</v>
      </c>
      <c r="D468" s="2889"/>
      <c r="E468" s="2889"/>
      <c r="F468" s="2890"/>
      <c r="G468" s="2888" t="s">
        <v>676</v>
      </c>
      <c r="H468" s="2890"/>
      <c r="I468" s="2888" t="s">
        <v>676</v>
      </c>
      <c r="J468" s="2890"/>
      <c r="K468" s="2271" t="s">
        <v>676</v>
      </c>
      <c r="L468" s="2271" t="s">
        <v>676</v>
      </c>
      <c r="M468" s="2271" t="s">
        <v>676</v>
      </c>
      <c r="N468" s="2272" t="s">
        <v>676</v>
      </c>
      <c r="O468" s="2270" t="s">
        <v>2769</v>
      </c>
      <c r="P468" s="2270">
        <v>0</v>
      </c>
      <c r="Q468" s="2271" t="s">
        <v>676</v>
      </c>
      <c r="R468" s="2271" t="s">
        <v>676</v>
      </c>
      <c r="S468" s="2271" t="s">
        <v>676</v>
      </c>
      <c r="T468" s="2271" t="s">
        <v>676</v>
      </c>
    </row>
    <row r="469" spans="1:20" ht="15">
      <c r="A469" s="2265"/>
      <c r="B469" s="2271" t="s">
        <v>676</v>
      </c>
      <c r="C469" s="2891" t="s">
        <v>676</v>
      </c>
      <c r="D469" s="2889"/>
      <c r="E469" s="2889"/>
      <c r="F469" s="2890"/>
      <c r="G469" s="2892" t="s">
        <v>676</v>
      </c>
      <c r="H469" s="2889"/>
      <c r="I469" s="2888" t="s">
        <v>676</v>
      </c>
      <c r="J469" s="2890"/>
      <c r="K469" s="2271" t="s">
        <v>676</v>
      </c>
      <c r="L469" s="2271" t="s">
        <v>676</v>
      </c>
      <c r="M469" s="2271" t="s">
        <v>676</v>
      </c>
      <c r="N469" s="2272" t="s">
        <v>676</v>
      </c>
      <c r="O469" s="2270" t="s">
        <v>2770</v>
      </c>
      <c r="P469" s="2270">
        <v>0</v>
      </c>
      <c r="Q469" s="2271" t="s">
        <v>676</v>
      </c>
      <c r="R469" s="2271" t="s">
        <v>676</v>
      </c>
      <c r="S469" s="2271" t="s">
        <v>676</v>
      </c>
      <c r="T469" s="2271" t="s">
        <v>676</v>
      </c>
    </row>
    <row r="470" spans="1:20" ht="135">
      <c r="A470" s="2265"/>
      <c r="B470" s="2268">
        <v>9</v>
      </c>
      <c r="C470" s="2882" t="s">
        <v>2887</v>
      </c>
      <c r="D470" s="2883"/>
      <c r="E470" s="2883"/>
      <c r="F470" s="2884"/>
      <c r="G470" s="2882" t="s">
        <v>2888</v>
      </c>
      <c r="H470" s="2884"/>
      <c r="I470" s="2882" t="s">
        <v>2762</v>
      </c>
      <c r="J470" s="2884"/>
      <c r="K470" s="2268" t="s">
        <v>2763</v>
      </c>
      <c r="L470" s="2268" t="s">
        <v>2764</v>
      </c>
      <c r="M470" s="2268" t="s">
        <v>2765</v>
      </c>
      <c r="N470" s="2269">
        <v>100000</v>
      </c>
      <c r="O470" s="2270" t="s">
        <v>2766</v>
      </c>
      <c r="P470" s="2270">
        <v>100000</v>
      </c>
      <c r="Q470" s="2268"/>
      <c r="R470" s="2268" t="s">
        <v>2767</v>
      </c>
      <c r="S470" s="2268" t="s">
        <v>2768</v>
      </c>
      <c r="T470" s="2268"/>
    </row>
    <row r="471" spans="1:20" ht="15">
      <c r="A471" s="2265"/>
      <c r="B471" s="2271" t="s">
        <v>676</v>
      </c>
      <c r="C471" s="2888" t="s">
        <v>676</v>
      </c>
      <c r="D471" s="2889"/>
      <c r="E471" s="2889"/>
      <c r="F471" s="2890"/>
      <c r="G471" s="2888" t="s">
        <v>676</v>
      </c>
      <c r="H471" s="2890"/>
      <c r="I471" s="2888" t="s">
        <v>676</v>
      </c>
      <c r="J471" s="2890"/>
      <c r="K471" s="2271" t="s">
        <v>676</v>
      </c>
      <c r="L471" s="2271" t="s">
        <v>676</v>
      </c>
      <c r="M471" s="2271" t="s">
        <v>676</v>
      </c>
      <c r="N471" s="2272" t="s">
        <v>676</v>
      </c>
      <c r="O471" s="2270" t="s">
        <v>2769</v>
      </c>
      <c r="P471" s="2270">
        <v>0</v>
      </c>
      <c r="Q471" s="2271" t="s">
        <v>676</v>
      </c>
      <c r="R471" s="2271" t="s">
        <v>676</v>
      </c>
      <c r="S471" s="2271" t="s">
        <v>676</v>
      </c>
      <c r="T471" s="2271" t="s">
        <v>676</v>
      </c>
    </row>
    <row r="472" spans="1:20" ht="15">
      <c r="A472" s="2265"/>
      <c r="B472" s="2273" t="s">
        <v>676</v>
      </c>
      <c r="C472" s="2896" t="s">
        <v>676</v>
      </c>
      <c r="D472" s="2942"/>
      <c r="E472" s="2942"/>
      <c r="F472" s="2943"/>
      <c r="G472" s="2899" t="s">
        <v>676</v>
      </c>
      <c r="H472" s="2942"/>
      <c r="I472" s="2900" t="s">
        <v>676</v>
      </c>
      <c r="J472" s="2943"/>
      <c r="K472" s="2273" t="s">
        <v>676</v>
      </c>
      <c r="L472" s="2273" t="s">
        <v>676</v>
      </c>
      <c r="M472" s="2273" t="s">
        <v>676</v>
      </c>
      <c r="N472" s="2274" t="s">
        <v>676</v>
      </c>
      <c r="O472" s="2270" t="s">
        <v>2770</v>
      </c>
      <c r="P472" s="2270">
        <v>0</v>
      </c>
      <c r="Q472" s="2273" t="s">
        <v>676</v>
      </c>
      <c r="R472" s="2273" t="s">
        <v>676</v>
      </c>
      <c r="S472" s="2273" t="s">
        <v>676</v>
      </c>
      <c r="T472" s="2273" t="s">
        <v>676</v>
      </c>
    </row>
    <row r="473" spans="1:20" ht="30">
      <c r="A473" s="2304"/>
      <c r="B473" s="2276" t="s">
        <v>82</v>
      </c>
      <c r="C473" s="2277"/>
      <c r="D473" s="2277"/>
      <c r="E473" s="2277"/>
      <c r="F473" s="2277"/>
      <c r="G473" s="2277"/>
      <c r="H473" s="2277"/>
      <c r="I473" s="2277"/>
      <c r="J473" s="2277"/>
      <c r="K473" s="2277"/>
      <c r="L473" s="2277"/>
      <c r="M473" s="2277"/>
      <c r="N473" s="2277">
        <f>SUM(N446:N472)</f>
        <v>1483000</v>
      </c>
      <c r="O473" s="2278"/>
      <c r="P473" s="2278">
        <f>SUM(P446:P472)</f>
        <v>1483000</v>
      </c>
      <c r="Q473" s="2278"/>
      <c r="R473" s="2278"/>
      <c r="S473" s="2278"/>
      <c r="T473" s="2279"/>
    </row>
    <row r="474" spans="1:20" ht="20.25">
      <c r="A474" s="2280"/>
      <c r="B474" s="2281"/>
      <c r="C474" s="2280"/>
      <c r="D474" s="2280"/>
      <c r="E474" s="2281"/>
      <c r="F474" s="2280"/>
      <c r="G474" s="2280"/>
      <c r="H474" s="2280"/>
      <c r="I474" s="2280"/>
      <c r="J474" s="2282"/>
      <c r="K474" s="2282"/>
      <c r="L474" s="2282"/>
      <c r="M474" s="2283"/>
      <c r="N474" s="2282"/>
      <c r="O474" s="2284" t="s">
        <v>2789</v>
      </c>
      <c r="P474" s="2282"/>
      <c r="Q474" s="2282"/>
      <c r="R474" s="2282"/>
      <c r="S474" s="2282"/>
      <c r="T474" s="2282"/>
    </row>
    <row r="475" spans="1:20" ht="20.25">
      <c r="A475" s="2282"/>
      <c r="B475" s="2282"/>
      <c r="C475" s="2282"/>
      <c r="D475" s="2282"/>
      <c r="E475" s="2282"/>
      <c r="F475" s="2282"/>
      <c r="G475" s="2282"/>
      <c r="H475" s="2282"/>
      <c r="I475" s="2282"/>
      <c r="J475" s="2282"/>
      <c r="K475" s="2282"/>
      <c r="L475" s="2282"/>
      <c r="M475" s="2283"/>
      <c r="N475" s="2282"/>
      <c r="O475" s="2284" t="s">
        <v>2790</v>
      </c>
      <c r="P475" s="2282"/>
      <c r="Q475" s="2282"/>
      <c r="R475" s="2282"/>
      <c r="S475" s="2282"/>
      <c r="T475" s="2282"/>
    </row>
    <row r="476" spans="1:20" ht="23.25">
      <c r="A476" s="2985" t="s">
        <v>2749</v>
      </c>
      <c r="B476" s="2987"/>
      <c r="C476" s="2987"/>
      <c r="D476" s="2987"/>
      <c r="E476" s="2987"/>
      <c r="F476" s="2987"/>
      <c r="G476" s="2987"/>
      <c r="H476" s="2261"/>
      <c r="I476" s="2261"/>
      <c r="J476" s="2261"/>
      <c r="K476" s="2261"/>
      <c r="L476" s="2261"/>
      <c r="M476" s="2262"/>
      <c r="N476" s="2263"/>
      <c r="O476" s="2263"/>
      <c r="P476" s="2263"/>
      <c r="Q476" s="2261"/>
      <c r="R476" s="2261"/>
      <c r="S476" s="2261"/>
      <c r="T476" s="2261"/>
    </row>
    <row r="477" spans="1:20" ht="15">
      <c r="A477" s="2261"/>
      <c r="B477" s="2261"/>
      <c r="C477" s="2261"/>
      <c r="D477" s="2261"/>
      <c r="E477" s="2261"/>
      <c r="F477" s="2261"/>
      <c r="G477" s="2261"/>
      <c r="H477" s="2261"/>
      <c r="I477" s="2261"/>
      <c r="J477" s="2261"/>
      <c r="K477" s="2261"/>
      <c r="L477" s="2261"/>
      <c r="M477" s="2262"/>
      <c r="N477" s="2263"/>
      <c r="O477" s="2263"/>
      <c r="P477" s="2263"/>
      <c r="Q477" s="2261"/>
      <c r="R477" s="2261"/>
      <c r="S477" s="2261"/>
      <c r="T477" s="2261"/>
    </row>
    <row r="478" spans="1:20" ht="15">
      <c r="A478" s="2960" t="s">
        <v>653</v>
      </c>
      <c r="B478" s="2988"/>
      <c r="C478" s="2988"/>
      <c r="D478" s="2261"/>
      <c r="E478" s="2264">
        <v>2020</v>
      </c>
      <c r="F478" s="2261"/>
      <c r="G478" s="2261"/>
      <c r="H478" s="2261"/>
      <c r="I478" s="2261"/>
      <c r="J478" s="2261"/>
      <c r="K478" s="2261"/>
      <c r="L478" s="2261"/>
      <c r="M478" s="2262"/>
      <c r="N478" s="2263"/>
      <c r="O478" s="2263"/>
      <c r="P478" s="2263"/>
      <c r="Q478" s="2261"/>
      <c r="R478" s="2261"/>
      <c r="S478" s="2261"/>
      <c r="T478" s="2261"/>
    </row>
    <row r="479" spans="1:20" ht="15">
      <c r="A479" s="2261"/>
      <c r="B479" s="2261"/>
      <c r="C479" s="2261"/>
      <c r="D479" s="2261"/>
      <c r="E479" s="2261"/>
      <c r="F479" s="2261"/>
      <c r="G479" s="2261"/>
      <c r="H479" s="2261"/>
      <c r="I479" s="2261"/>
      <c r="J479" s="2261"/>
      <c r="K479" s="2261"/>
      <c r="L479" s="2261"/>
      <c r="M479" s="2262"/>
      <c r="N479" s="2263"/>
      <c r="O479" s="2263"/>
      <c r="P479" s="2263"/>
      <c r="Q479" s="2261"/>
      <c r="R479" s="2261"/>
      <c r="S479" s="2261"/>
      <c r="T479" s="2261"/>
    </row>
    <row r="480" spans="1:20" ht="15">
      <c r="A480" s="2960" t="s">
        <v>655</v>
      </c>
      <c r="B480" s="2988"/>
      <c r="C480" s="2988"/>
      <c r="D480" s="2261"/>
      <c r="E480" s="2961" t="s">
        <v>2889</v>
      </c>
      <c r="F480" s="2988"/>
      <c r="G480" s="2988"/>
      <c r="H480" s="2988"/>
      <c r="I480" s="2988"/>
      <c r="J480" s="2261"/>
      <c r="K480" s="2261"/>
      <c r="L480" s="2261"/>
      <c r="M480" s="2262"/>
      <c r="N480" s="2263"/>
      <c r="O480" s="2263"/>
      <c r="P480" s="2263"/>
      <c r="Q480" s="2261"/>
      <c r="R480" s="2261"/>
      <c r="S480" s="2261"/>
      <c r="T480" s="2261"/>
    </row>
    <row r="481" spans="1:20" ht="15">
      <c r="A481" s="2261"/>
      <c r="B481" s="2261"/>
      <c r="C481" s="2261"/>
      <c r="D481" s="2261"/>
      <c r="E481" s="2261"/>
      <c r="F481" s="2261"/>
      <c r="G481" s="2261"/>
      <c r="H481" s="2261"/>
      <c r="I481" s="2261"/>
      <c r="J481" s="2261"/>
      <c r="K481" s="2261"/>
      <c r="L481" s="2261"/>
      <c r="M481" s="2262"/>
      <c r="N481" s="2263"/>
      <c r="O481" s="2263"/>
      <c r="P481" s="2263"/>
      <c r="Q481" s="2261"/>
      <c r="R481" s="2261"/>
      <c r="S481" s="2261"/>
      <c r="T481" s="2261"/>
    </row>
    <row r="482" spans="1:20" ht="126">
      <c r="A482" s="2265"/>
      <c r="B482" s="2266" t="s">
        <v>657</v>
      </c>
      <c r="C482" s="2893" t="s">
        <v>587</v>
      </c>
      <c r="D482" s="2894"/>
      <c r="E482" s="2894"/>
      <c r="F482" s="2895"/>
      <c r="G482" s="2893" t="s">
        <v>2751</v>
      </c>
      <c r="H482" s="2895"/>
      <c r="I482" s="2893" t="s">
        <v>2752</v>
      </c>
      <c r="J482" s="2895"/>
      <c r="K482" s="2266" t="s">
        <v>2753</v>
      </c>
      <c r="L482" s="2266" t="s">
        <v>2754</v>
      </c>
      <c r="M482" s="2266" t="s">
        <v>2755</v>
      </c>
      <c r="N482" s="2267" t="s">
        <v>2756</v>
      </c>
      <c r="O482" s="2267" t="s">
        <v>2757</v>
      </c>
      <c r="P482" s="2267" t="s">
        <v>2758</v>
      </c>
      <c r="Q482" s="2266" t="s">
        <v>623</v>
      </c>
      <c r="R482" s="2266" t="s">
        <v>2759</v>
      </c>
      <c r="S482" s="2266" t="s">
        <v>2760</v>
      </c>
      <c r="T482" s="2266" t="s">
        <v>2761</v>
      </c>
    </row>
    <row r="483" spans="1:20" ht="90">
      <c r="A483" s="2265"/>
      <c r="B483" s="2268">
        <v>1</v>
      </c>
      <c r="C483" s="2882" t="s">
        <v>1080</v>
      </c>
      <c r="D483" s="2883"/>
      <c r="E483" s="2883"/>
      <c r="F483" s="2884"/>
      <c r="G483" s="2882" t="s">
        <v>2890</v>
      </c>
      <c r="H483" s="2884"/>
      <c r="I483" s="2882" t="s">
        <v>2762</v>
      </c>
      <c r="J483" s="2884"/>
      <c r="K483" s="2268" t="s">
        <v>2763</v>
      </c>
      <c r="L483" s="2268" t="s">
        <v>2764</v>
      </c>
      <c r="M483" s="2268" t="s">
        <v>2776</v>
      </c>
      <c r="N483" s="2269">
        <v>200000</v>
      </c>
      <c r="O483" s="2270" t="s">
        <v>2766</v>
      </c>
      <c r="P483" s="2270">
        <v>200000</v>
      </c>
      <c r="Q483" s="2268" t="s">
        <v>688</v>
      </c>
      <c r="R483" s="2268" t="s">
        <v>2767</v>
      </c>
      <c r="S483" s="2268" t="s">
        <v>2768</v>
      </c>
      <c r="T483" s="2268"/>
    </row>
    <row r="484" spans="1:20" ht="15">
      <c r="A484" s="2265"/>
      <c r="B484" s="2271" t="s">
        <v>676</v>
      </c>
      <c r="C484" s="2888" t="s">
        <v>676</v>
      </c>
      <c r="D484" s="2889"/>
      <c r="E484" s="2889"/>
      <c r="F484" s="2890"/>
      <c r="G484" s="2888" t="s">
        <v>676</v>
      </c>
      <c r="H484" s="2890"/>
      <c r="I484" s="2888" t="s">
        <v>676</v>
      </c>
      <c r="J484" s="2890"/>
      <c r="K484" s="2271" t="s">
        <v>676</v>
      </c>
      <c r="L484" s="2271" t="s">
        <v>676</v>
      </c>
      <c r="M484" s="2271" t="s">
        <v>676</v>
      </c>
      <c r="N484" s="2272" t="s">
        <v>676</v>
      </c>
      <c r="O484" s="2270" t="s">
        <v>2769</v>
      </c>
      <c r="P484" s="2270">
        <v>0</v>
      </c>
      <c r="Q484" s="2271" t="s">
        <v>676</v>
      </c>
      <c r="R484" s="2271" t="s">
        <v>676</v>
      </c>
      <c r="S484" s="2271" t="s">
        <v>676</v>
      </c>
      <c r="T484" s="2271" t="s">
        <v>676</v>
      </c>
    </row>
    <row r="485" spans="1:20" ht="15">
      <c r="A485" s="2265"/>
      <c r="B485" s="2271" t="s">
        <v>676</v>
      </c>
      <c r="C485" s="2891" t="s">
        <v>676</v>
      </c>
      <c r="D485" s="2889"/>
      <c r="E485" s="2889"/>
      <c r="F485" s="2890"/>
      <c r="G485" s="2892" t="s">
        <v>676</v>
      </c>
      <c r="H485" s="2889"/>
      <c r="I485" s="2888" t="s">
        <v>676</v>
      </c>
      <c r="J485" s="2890"/>
      <c r="K485" s="2271" t="s">
        <v>676</v>
      </c>
      <c r="L485" s="2271" t="s">
        <v>676</v>
      </c>
      <c r="M485" s="2271" t="s">
        <v>676</v>
      </c>
      <c r="N485" s="2272" t="s">
        <v>676</v>
      </c>
      <c r="O485" s="2270" t="s">
        <v>2770</v>
      </c>
      <c r="P485" s="2270">
        <v>0</v>
      </c>
      <c r="Q485" s="2271" t="s">
        <v>676</v>
      </c>
      <c r="R485" s="2271" t="s">
        <v>676</v>
      </c>
      <c r="S485" s="2271" t="s">
        <v>676</v>
      </c>
      <c r="T485" s="2271" t="s">
        <v>676</v>
      </c>
    </row>
    <row r="486" spans="1:20" ht="90">
      <c r="A486" s="2265"/>
      <c r="B486" s="2268">
        <v>2</v>
      </c>
      <c r="C486" s="2882" t="s">
        <v>1156</v>
      </c>
      <c r="D486" s="2883"/>
      <c r="E486" s="2883"/>
      <c r="F486" s="2884"/>
      <c r="G486" s="2882" t="s">
        <v>1014</v>
      </c>
      <c r="H486" s="2884"/>
      <c r="I486" s="2882" t="s">
        <v>2762</v>
      </c>
      <c r="J486" s="2884"/>
      <c r="K486" s="2268" t="s">
        <v>2763</v>
      </c>
      <c r="L486" s="2268" t="s">
        <v>2764</v>
      </c>
      <c r="M486" s="2268" t="s">
        <v>2776</v>
      </c>
      <c r="N486" s="2269">
        <v>200000</v>
      </c>
      <c r="O486" s="2270" t="s">
        <v>2766</v>
      </c>
      <c r="P486" s="2270">
        <v>200000</v>
      </c>
      <c r="Q486" s="2268" t="s">
        <v>688</v>
      </c>
      <c r="R486" s="2268" t="s">
        <v>2767</v>
      </c>
      <c r="S486" s="2268" t="s">
        <v>2768</v>
      </c>
      <c r="T486" s="2268"/>
    </row>
    <row r="487" spans="1:20" ht="15">
      <c r="A487" s="2265"/>
      <c r="B487" s="2271" t="s">
        <v>676</v>
      </c>
      <c r="C487" s="2888" t="s">
        <v>676</v>
      </c>
      <c r="D487" s="2889"/>
      <c r="E487" s="2889"/>
      <c r="F487" s="2890"/>
      <c r="G487" s="2888" t="s">
        <v>676</v>
      </c>
      <c r="H487" s="2890"/>
      <c r="I487" s="2888" t="s">
        <v>676</v>
      </c>
      <c r="J487" s="2890"/>
      <c r="K487" s="2271" t="s">
        <v>676</v>
      </c>
      <c r="L487" s="2271" t="s">
        <v>676</v>
      </c>
      <c r="M487" s="2271" t="s">
        <v>676</v>
      </c>
      <c r="N487" s="2272" t="s">
        <v>676</v>
      </c>
      <c r="O487" s="2270" t="s">
        <v>2769</v>
      </c>
      <c r="P487" s="2270">
        <v>0</v>
      </c>
      <c r="Q487" s="2271" t="s">
        <v>676</v>
      </c>
      <c r="R487" s="2271" t="s">
        <v>676</v>
      </c>
      <c r="S487" s="2271" t="s">
        <v>676</v>
      </c>
      <c r="T487" s="2271" t="s">
        <v>676</v>
      </c>
    </row>
    <row r="488" spans="1:20" ht="15">
      <c r="A488" s="2265"/>
      <c r="B488" s="2271" t="s">
        <v>676</v>
      </c>
      <c r="C488" s="2891" t="s">
        <v>676</v>
      </c>
      <c r="D488" s="2889"/>
      <c r="E488" s="2889"/>
      <c r="F488" s="2890"/>
      <c r="G488" s="2892" t="s">
        <v>676</v>
      </c>
      <c r="H488" s="2889"/>
      <c r="I488" s="2888" t="s">
        <v>676</v>
      </c>
      <c r="J488" s="2890"/>
      <c r="K488" s="2271" t="s">
        <v>676</v>
      </c>
      <c r="L488" s="2271" t="s">
        <v>676</v>
      </c>
      <c r="M488" s="2271" t="s">
        <v>676</v>
      </c>
      <c r="N488" s="2272" t="s">
        <v>676</v>
      </c>
      <c r="O488" s="2270" t="s">
        <v>2770</v>
      </c>
      <c r="P488" s="2270">
        <v>0</v>
      </c>
      <c r="Q488" s="2271" t="s">
        <v>676</v>
      </c>
      <c r="R488" s="2271" t="s">
        <v>676</v>
      </c>
      <c r="S488" s="2271" t="s">
        <v>676</v>
      </c>
      <c r="T488" s="2271" t="s">
        <v>676</v>
      </c>
    </row>
    <row r="489" spans="1:20" ht="135">
      <c r="A489" s="2265"/>
      <c r="B489" s="2268">
        <v>3</v>
      </c>
      <c r="C489" s="2882" t="s">
        <v>2891</v>
      </c>
      <c r="D489" s="2883"/>
      <c r="E489" s="2883"/>
      <c r="F489" s="2884"/>
      <c r="G489" s="2882" t="s">
        <v>1497</v>
      </c>
      <c r="H489" s="2884"/>
      <c r="I489" s="2882" t="s">
        <v>2762</v>
      </c>
      <c r="J489" s="2884"/>
      <c r="K489" s="2268" t="s">
        <v>2763</v>
      </c>
      <c r="L489" s="2268" t="s">
        <v>2764</v>
      </c>
      <c r="M489" s="2268" t="s">
        <v>2765</v>
      </c>
      <c r="N489" s="2269">
        <v>100000</v>
      </c>
      <c r="O489" s="2270" t="s">
        <v>2766</v>
      </c>
      <c r="P489" s="2270">
        <v>100000</v>
      </c>
      <c r="Q489" s="2268"/>
      <c r="R489" s="2268" t="s">
        <v>2767</v>
      </c>
      <c r="S489" s="2268" t="s">
        <v>2768</v>
      </c>
      <c r="T489" s="2268"/>
    </row>
    <row r="490" spans="1:20" ht="15">
      <c r="A490" s="2265"/>
      <c r="B490" s="2271" t="s">
        <v>676</v>
      </c>
      <c r="C490" s="2888" t="s">
        <v>676</v>
      </c>
      <c r="D490" s="2889"/>
      <c r="E490" s="2889"/>
      <c r="F490" s="2890"/>
      <c r="G490" s="2888" t="s">
        <v>676</v>
      </c>
      <c r="H490" s="2890"/>
      <c r="I490" s="2888" t="s">
        <v>676</v>
      </c>
      <c r="J490" s="2890"/>
      <c r="K490" s="2271" t="s">
        <v>676</v>
      </c>
      <c r="L490" s="2271" t="s">
        <v>676</v>
      </c>
      <c r="M490" s="2271" t="s">
        <v>676</v>
      </c>
      <c r="N490" s="2272" t="s">
        <v>676</v>
      </c>
      <c r="O490" s="2270" t="s">
        <v>2769</v>
      </c>
      <c r="P490" s="2270">
        <v>0</v>
      </c>
      <c r="Q490" s="2271" t="s">
        <v>676</v>
      </c>
      <c r="R490" s="2271" t="s">
        <v>676</v>
      </c>
      <c r="S490" s="2271" t="s">
        <v>676</v>
      </c>
      <c r="T490" s="2271" t="s">
        <v>676</v>
      </c>
    </row>
    <row r="491" spans="1:20" ht="15">
      <c r="A491" s="2265"/>
      <c r="B491" s="2271" t="s">
        <v>676</v>
      </c>
      <c r="C491" s="2891" t="s">
        <v>676</v>
      </c>
      <c r="D491" s="2889"/>
      <c r="E491" s="2889"/>
      <c r="F491" s="2890"/>
      <c r="G491" s="2892" t="s">
        <v>676</v>
      </c>
      <c r="H491" s="2889"/>
      <c r="I491" s="2888" t="s">
        <v>676</v>
      </c>
      <c r="J491" s="2890"/>
      <c r="K491" s="2271" t="s">
        <v>676</v>
      </c>
      <c r="L491" s="2271" t="s">
        <v>676</v>
      </c>
      <c r="M491" s="2271" t="s">
        <v>676</v>
      </c>
      <c r="N491" s="2272" t="s">
        <v>676</v>
      </c>
      <c r="O491" s="2270" t="s">
        <v>2770</v>
      </c>
      <c r="P491" s="2270">
        <v>0</v>
      </c>
      <c r="Q491" s="2271" t="s">
        <v>676</v>
      </c>
      <c r="R491" s="2271" t="s">
        <v>676</v>
      </c>
      <c r="S491" s="2271" t="s">
        <v>676</v>
      </c>
      <c r="T491" s="2271" t="s">
        <v>676</v>
      </c>
    </row>
    <row r="492" spans="1:20" ht="135">
      <c r="A492" s="2265"/>
      <c r="B492" s="2268">
        <v>4</v>
      </c>
      <c r="C492" s="2882" t="s">
        <v>2892</v>
      </c>
      <c r="D492" s="2883"/>
      <c r="E492" s="2883"/>
      <c r="F492" s="2884"/>
      <c r="G492" s="2882" t="s">
        <v>2893</v>
      </c>
      <c r="H492" s="2884"/>
      <c r="I492" s="2882" t="s">
        <v>2762</v>
      </c>
      <c r="J492" s="2884"/>
      <c r="K492" s="2268" t="s">
        <v>2763</v>
      </c>
      <c r="L492" s="2268" t="s">
        <v>2775</v>
      </c>
      <c r="M492" s="2268" t="s">
        <v>2765</v>
      </c>
      <c r="N492" s="2269">
        <v>80000</v>
      </c>
      <c r="O492" s="2270" t="s">
        <v>2766</v>
      </c>
      <c r="P492" s="2270">
        <v>80000</v>
      </c>
      <c r="Q492" s="2268"/>
      <c r="R492" s="2268" t="s">
        <v>2767</v>
      </c>
      <c r="S492" s="2268" t="s">
        <v>2768</v>
      </c>
      <c r="T492" s="2268"/>
    </row>
    <row r="493" spans="1:20" ht="15">
      <c r="A493" s="2265"/>
      <c r="B493" s="2271" t="s">
        <v>676</v>
      </c>
      <c r="C493" s="2888" t="s">
        <v>676</v>
      </c>
      <c r="D493" s="2889"/>
      <c r="E493" s="2889"/>
      <c r="F493" s="2890"/>
      <c r="G493" s="2888" t="s">
        <v>676</v>
      </c>
      <c r="H493" s="2890"/>
      <c r="I493" s="2888" t="s">
        <v>676</v>
      </c>
      <c r="J493" s="2890"/>
      <c r="K493" s="2271" t="s">
        <v>676</v>
      </c>
      <c r="L493" s="2271" t="s">
        <v>676</v>
      </c>
      <c r="M493" s="2271" t="s">
        <v>676</v>
      </c>
      <c r="N493" s="2272" t="s">
        <v>676</v>
      </c>
      <c r="O493" s="2270" t="s">
        <v>2769</v>
      </c>
      <c r="P493" s="2270">
        <v>0</v>
      </c>
      <c r="Q493" s="2271" t="s">
        <v>676</v>
      </c>
      <c r="R493" s="2271" t="s">
        <v>676</v>
      </c>
      <c r="S493" s="2271" t="s">
        <v>676</v>
      </c>
      <c r="T493" s="2271" t="s">
        <v>676</v>
      </c>
    </row>
    <row r="494" spans="1:20" ht="15">
      <c r="A494" s="2265"/>
      <c r="B494" s="2271" t="s">
        <v>676</v>
      </c>
      <c r="C494" s="2891" t="s">
        <v>676</v>
      </c>
      <c r="D494" s="2889"/>
      <c r="E494" s="2889"/>
      <c r="F494" s="2890"/>
      <c r="G494" s="2892" t="s">
        <v>676</v>
      </c>
      <c r="H494" s="2889"/>
      <c r="I494" s="2888" t="s">
        <v>676</v>
      </c>
      <c r="J494" s="2890"/>
      <c r="K494" s="2271" t="s">
        <v>676</v>
      </c>
      <c r="L494" s="2271" t="s">
        <v>676</v>
      </c>
      <c r="M494" s="2271" t="s">
        <v>676</v>
      </c>
      <c r="N494" s="2272" t="s">
        <v>676</v>
      </c>
      <c r="O494" s="2270" t="s">
        <v>2770</v>
      </c>
      <c r="P494" s="2270">
        <v>0</v>
      </c>
      <c r="Q494" s="2271" t="s">
        <v>676</v>
      </c>
      <c r="R494" s="2271" t="s">
        <v>676</v>
      </c>
      <c r="S494" s="2271" t="s">
        <v>676</v>
      </c>
      <c r="T494" s="2271" t="s">
        <v>676</v>
      </c>
    </row>
    <row r="495" spans="1:20" ht="90">
      <c r="A495" s="2265"/>
      <c r="B495" s="2268">
        <v>5</v>
      </c>
      <c r="C495" s="2882" t="s">
        <v>2894</v>
      </c>
      <c r="D495" s="2883"/>
      <c r="E495" s="2883"/>
      <c r="F495" s="2884"/>
      <c r="G495" s="2882" t="s">
        <v>1617</v>
      </c>
      <c r="H495" s="2884"/>
      <c r="I495" s="2882" t="s">
        <v>2762</v>
      </c>
      <c r="J495" s="2884"/>
      <c r="K495" s="2268" t="s">
        <v>2763</v>
      </c>
      <c r="L495" s="2268" t="s">
        <v>2775</v>
      </c>
      <c r="M495" s="2268" t="s">
        <v>2776</v>
      </c>
      <c r="N495" s="2269">
        <v>250000</v>
      </c>
      <c r="O495" s="2270" t="s">
        <v>2766</v>
      </c>
      <c r="P495" s="2270">
        <v>250000</v>
      </c>
      <c r="Q495" s="2268" t="s">
        <v>688</v>
      </c>
      <c r="R495" s="2268" t="s">
        <v>2767</v>
      </c>
      <c r="S495" s="2268" t="s">
        <v>2768</v>
      </c>
      <c r="T495" s="2268"/>
    </row>
    <row r="496" spans="1:20" ht="15">
      <c r="A496" s="2265"/>
      <c r="B496" s="2271" t="s">
        <v>676</v>
      </c>
      <c r="C496" s="2888" t="s">
        <v>676</v>
      </c>
      <c r="D496" s="2889"/>
      <c r="E496" s="2889"/>
      <c r="F496" s="2890"/>
      <c r="G496" s="2888" t="s">
        <v>676</v>
      </c>
      <c r="H496" s="2890"/>
      <c r="I496" s="2888" t="s">
        <v>676</v>
      </c>
      <c r="J496" s="2890"/>
      <c r="K496" s="2271" t="s">
        <v>676</v>
      </c>
      <c r="L496" s="2271" t="s">
        <v>676</v>
      </c>
      <c r="M496" s="2271" t="s">
        <v>676</v>
      </c>
      <c r="N496" s="2272" t="s">
        <v>676</v>
      </c>
      <c r="O496" s="2270" t="s">
        <v>2769</v>
      </c>
      <c r="P496" s="2270">
        <v>0</v>
      </c>
      <c r="Q496" s="2271" t="s">
        <v>676</v>
      </c>
      <c r="R496" s="2271" t="s">
        <v>676</v>
      </c>
      <c r="S496" s="2271" t="s">
        <v>676</v>
      </c>
      <c r="T496" s="2271" t="s">
        <v>676</v>
      </c>
    </row>
    <row r="497" spans="1:20" ht="15">
      <c r="A497" s="2265"/>
      <c r="B497" s="2271" t="s">
        <v>676</v>
      </c>
      <c r="C497" s="2891" t="s">
        <v>676</v>
      </c>
      <c r="D497" s="2889"/>
      <c r="E497" s="2889"/>
      <c r="F497" s="2890"/>
      <c r="G497" s="2892" t="s">
        <v>676</v>
      </c>
      <c r="H497" s="2889"/>
      <c r="I497" s="2888" t="s">
        <v>676</v>
      </c>
      <c r="J497" s="2890"/>
      <c r="K497" s="2271" t="s">
        <v>676</v>
      </c>
      <c r="L497" s="2271" t="s">
        <v>676</v>
      </c>
      <c r="M497" s="2271" t="s">
        <v>676</v>
      </c>
      <c r="N497" s="2272" t="s">
        <v>676</v>
      </c>
      <c r="O497" s="2270" t="s">
        <v>2770</v>
      </c>
      <c r="P497" s="2270">
        <v>0</v>
      </c>
      <c r="Q497" s="2271" t="s">
        <v>676</v>
      </c>
      <c r="R497" s="2271" t="s">
        <v>676</v>
      </c>
      <c r="S497" s="2271" t="s">
        <v>676</v>
      </c>
      <c r="T497" s="2271" t="s">
        <v>676</v>
      </c>
    </row>
    <row r="498" spans="1:20" ht="90">
      <c r="A498" s="2265"/>
      <c r="B498" s="2268">
        <v>6</v>
      </c>
      <c r="C498" s="2882" t="s">
        <v>2895</v>
      </c>
      <c r="D498" s="2883"/>
      <c r="E498" s="2883"/>
      <c r="F498" s="2884"/>
      <c r="G498" s="2882" t="s">
        <v>727</v>
      </c>
      <c r="H498" s="2884"/>
      <c r="I498" s="2882" t="s">
        <v>2762</v>
      </c>
      <c r="J498" s="2884"/>
      <c r="K498" s="2268" t="s">
        <v>2763</v>
      </c>
      <c r="L498" s="2268" t="s">
        <v>2764</v>
      </c>
      <c r="M498" s="2268" t="s">
        <v>2776</v>
      </c>
      <c r="N498" s="2269">
        <v>800000</v>
      </c>
      <c r="O498" s="2270" t="s">
        <v>2766</v>
      </c>
      <c r="P498" s="2270">
        <v>800000</v>
      </c>
      <c r="Q498" s="2268" t="s">
        <v>688</v>
      </c>
      <c r="R498" s="2268" t="s">
        <v>2767</v>
      </c>
      <c r="S498" s="2268" t="s">
        <v>2768</v>
      </c>
      <c r="T498" s="2268"/>
    </row>
    <row r="499" spans="1:20" ht="15">
      <c r="A499" s="2265"/>
      <c r="B499" s="2271" t="s">
        <v>676</v>
      </c>
      <c r="C499" s="2888" t="s">
        <v>676</v>
      </c>
      <c r="D499" s="2889"/>
      <c r="E499" s="2889"/>
      <c r="F499" s="2890"/>
      <c r="G499" s="2888" t="s">
        <v>676</v>
      </c>
      <c r="H499" s="2890"/>
      <c r="I499" s="2888" t="s">
        <v>676</v>
      </c>
      <c r="J499" s="2890"/>
      <c r="K499" s="2271" t="s">
        <v>676</v>
      </c>
      <c r="L499" s="2271" t="s">
        <v>676</v>
      </c>
      <c r="M499" s="2271" t="s">
        <v>676</v>
      </c>
      <c r="N499" s="2272" t="s">
        <v>676</v>
      </c>
      <c r="O499" s="2270" t="s">
        <v>2769</v>
      </c>
      <c r="P499" s="2270">
        <v>0</v>
      </c>
      <c r="Q499" s="2271" t="s">
        <v>676</v>
      </c>
      <c r="R499" s="2271" t="s">
        <v>676</v>
      </c>
      <c r="S499" s="2271" t="s">
        <v>676</v>
      </c>
      <c r="T499" s="2271" t="s">
        <v>676</v>
      </c>
    </row>
    <row r="500" spans="1:20" ht="15">
      <c r="A500" s="2265"/>
      <c r="B500" s="2271" t="s">
        <v>676</v>
      </c>
      <c r="C500" s="2891" t="s">
        <v>676</v>
      </c>
      <c r="D500" s="2889"/>
      <c r="E500" s="2889"/>
      <c r="F500" s="2890"/>
      <c r="G500" s="2892" t="s">
        <v>676</v>
      </c>
      <c r="H500" s="2889"/>
      <c r="I500" s="2888" t="s">
        <v>676</v>
      </c>
      <c r="J500" s="2890"/>
      <c r="K500" s="2271" t="s">
        <v>676</v>
      </c>
      <c r="L500" s="2271" t="s">
        <v>676</v>
      </c>
      <c r="M500" s="2271" t="s">
        <v>676</v>
      </c>
      <c r="N500" s="2272" t="s">
        <v>676</v>
      </c>
      <c r="O500" s="2270" t="s">
        <v>2770</v>
      </c>
      <c r="P500" s="2270">
        <v>0</v>
      </c>
      <c r="Q500" s="2271" t="s">
        <v>676</v>
      </c>
      <c r="R500" s="2271" t="s">
        <v>676</v>
      </c>
      <c r="S500" s="2271" t="s">
        <v>676</v>
      </c>
      <c r="T500" s="2271" t="s">
        <v>676</v>
      </c>
    </row>
    <row r="501" spans="1:20" ht="135">
      <c r="A501" s="2265"/>
      <c r="B501" s="2268">
        <v>7</v>
      </c>
      <c r="C501" s="2882" t="s">
        <v>2896</v>
      </c>
      <c r="D501" s="2883"/>
      <c r="E501" s="2883"/>
      <c r="F501" s="2884"/>
      <c r="G501" s="2882" t="s">
        <v>2897</v>
      </c>
      <c r="H501" s="2884"/>
      <c r="I501" s="2882" t="s">
        <v>2762</v>
      </c>
      <c r="J501" s="2884"/>
      <c r="K501" s="2268" t="s">
        <v>2763</v>
      </c>
      <c r="L501" s="2268" t="s">
        <v>2764</v>
      </c>
      <c r="M501" s="2268" t="s">
        <v>2765</v>
      </c>
      <c r="N501" s="2269">
        <v>100000</v>
      </c>
      <c r="O501" s="2270" t="s">
        <v>2766</v>
      </c>
      <c r="P501" s="2270">
        <v>100000</v>
      </c>
      <c r="Q501" s="2268"/>
      <c r="R501" s="2268" t="s">
        <v>2767</v>
      </c>
      <c r="S501" s="2268" t="s">
        <v>2768</v>
      </c>
      <c r="T501" s="2268"/>
    </row>
    <row r="502" spans="1:20" ht="15">
      <c r="A502" s="2265"/>
      <c r="B502" s="2271" t="s">
        <v>676</v>
      </c>
      <c r="C502" s="2888" t="s">
        <v>676</v>
      </c>
      <c r="D502" s="2889"/>
      <c r="E502" s="2889"/>
      <c r="F502" s="2890"/>
      <c r="G502" s="2888" t="s">
        <v>676</v>
      </c>
      <c r="H502" s="2890"/>
      <c r="I502" s="2888" t="s">
        <v>676</v>
      </c>
      <c r="J502" s="2890"/>
      <c r="K502" s="2271" t="s">
        <v>676</v>
      </c>
      <c r="L502" s="2271" t="s">
        <v>676</v>
      </c>
      <c r="M502" s="2271" t="s">
        <v>676</v>
      </c>
      <c r="N502" s="2272" t="s">
        <v>676</v>
      </c>
      <c r="O502" s="2270" t="s">
        <v>2769</v>
      </c>
      <c r="P502" s="2270">
        <v>0</v>
      </c>
      <c r="Q502" s="2271" t="s">
        <v>676</v>
      </c>
      <c r="R502" s="2271" t="s">
        <v>676</v>
      </c>
      <c r="S502" s="2271" t="s">
        <v>676</v>
      </c>
      <c r="T502" s="2271" t="s">
        <v>676</v>
      </c>
    </row>
    <row r="503" spans="1:20" ht="15">
      <c r="A503" s="2265"/>
      <c r="B503" s="2271" t="s">
        <v>676</v>
      </c>
      <c r="C503" s="2891" t="s">
        <v>676</v>
      </c>
      <c r="D503" s="2889"/>
      <c r="E503" s="2889"/>
      <c r="F503" s="2890"/>
      <c r="G503" s="2892" t="s">
        <v>676</v>
      </c>
      <c r="H503" s="2889"/>
      <c r="I503" s="2888" t="s">
        <v>676</v>
      </c>
      <c r="J503" s="2890"/>
      <c r="K503" s="2271" t="s">
        <v>676</v>
      </c>
      <c r="L503" s="2271" t="s">
        <v>676</v>
      </c>
      <c r="M503" s="2271" t="s">
        <v>676</v>
      </c>
      <c r="N503" s="2272" t="s">
        <v>676</v>
      </c>
      <c r="O503" s="2270" t="s">
        <v>2770</v>
      </c>
      <c r="P503" s="2270">
        <v>0</v>
      </c>
      <c r="Q503" s="2271" t="s">
        <v>676</v>
      </c>
      <c r="R503" s="2271" t="s">
        <v>676</v>
      </c>
      <c r="S503" s="2271" t="s">
        <v>676</v>
      </c>
      <c r="T503" s="2271" t="s">
        <v>676</v>
      </c>
    </row>
    <row r="504" spans="1:20" ht="135">
      <c r="A504" s="2265"/>
      <c r="B504" s="2268">
        <v>8</v>
      </c>
      <c r="C504" s="2882" t="s">
        <v>2898</v>
      </c>
      <c r="D504" s="2883"/>
      <c r="E504" s="2883"/>
      <c r="F504" s="2884"/>
      <c r="G504" s="2882" t="s">
        <v>2899</v>
      </c>
      <c r="H504" s="2884"/>
      <c r="I504" s="2882" t="s">
        <v>2762</v>
      </c>
      <c r="J504" s="2884"/>
      <c r="K504" s="2268" t="s">
        <v>2763</v>
      </c>
      <c r="L504" s="2268" t="s">
        <v>2764</v>
      </c>
      <c r="M504" s="2268" t="s">
        <v>2765</v>
      </c>
      <c r="N504" s="2269">
        <v>100000</v>
      </c>
      <c r="O504" s="2270" t="s">
        <v>2766</v>
      </c>
      <c r="P504" s="2270">
        <v>100000</v>
      </c>
      <c r="Q504" s="2268"/>
      <c r="R504" s="2268" t="s">
        <v>2767</v>
      </c>
      <c r="S504" s="2268" t="s">
        <v>2768</v>
      </c>
      <c r="T504" s="2268"/>
    </row>
    <row r="505" spans="1:20" ht="15">
      <c r="A505" s="2265"/>
      <c r="B505" s="2271" t="s">
        <v>676</v>
      </c>
      <c r="C505" s="2888" t="s">
        <v>676</v>
      </c>
      <c r="D505" s="2889"/>
      <c r="E505" s="2889"/>
      <c r="F505" s="2890"/>
      <c r="G505" s="2888" t="s">
        <v>676</v>
      </c>
      <c r="H505" s="2890"/>
      <c r="I505" s="2888" t="s">
        <v>676</v>
      </c>
      <c r="J505" s="2890"/>
      <c r="K505" s="2271" t="s">
        <v>676</v>
      </c>
      <c r="L505" s="2271" t="s">
        <v>676</v>
      </c>
      <c r="M505" s="2271" t="s">
        <v>676</v>
      </c>
      <c r="N505" s="2272" t="s">
        <v>676</v>
      </c>
      <c r="O505" s="2270" t="s">
        <v>2769</v>
      </c>
      <c r="P505" s="2270">
        <v>0</v>
      </c>
      <c r="Q505" s="2271" t="s">
        <v>676</v>
      </c>
      <c r="R505" s="2271" t="s">
        <v>676</v>
      </c>
      <c r="S505" s="2271" t="s">
        <v>676</v>
      </c>
      <c r="T505" s="2271" t="s">
        <v>676</v>
      </c>
    </row>
    <row r="506" spans="1:20" ht="15">
      <c r="A506" s="2265"/>
      <c r="B506" s="2271" t="s">
        <v>676</v>
      </c>
      <c r="C506" s="2891" t="s">
        <v>676</v>
      </c>
      <c r="D506" s="2889"/>
      <c r="E506" s="2889"/>
      <c r="F506" s="2890"/>
      <c r="G506" s="2892" t="s">
        <v>676</v>
      </c>
      <c r="H506" s="2889"/>
      <c r="I506" s="2888" t="s">
        <v>676</v>
      </c>
      <c r="J506" s="2890"/>
      <c r="K506" s="2271" t="s">
        <v>676</v>
      </c>
      <c r="L506" s="2271" t="s">
        <v>676</v>
      </c>
      <c r="M506" s="2271" t="s">
        <v>676</v>
      </c>
      <c r="N506" s="2272" t="s">
        <v>676</v>
      </c>
      <c r="O506" s="2270" t="s">
        <v>2770</v>
      </c>
      <c r="P506" s="2270">
        <v>0</v>
      </c>
      <c r="Q506" s="2271" t="s">
        <v>676</v>
      </c>
      <c r="R506" s="2271" t="s">
        <v>676</v>
      </c>
      <c r="S506" s="2271" t="s">
        <v>676</v>
      </c>
      <c r="T506" s="2271" t="s">
        <v>676</v>
      </c>
    </row>
    <row r="507" spans="1:20" ht="135">
      <c r="A507" s="2265"/>
      <c r="B507" s="2268">
        <v>9</v>
      </c>
      <c r="C507" s="2882" t="s">
        <v>2900</v>
      </c>
      <c r="D507" s="2883"/>
      <c r="E507" s="2883"/>
      <c r="F507" s="2884"/>
      <c r="G507" s="2882" t="s">
        <v>2901</v>
      </c>
      <c r="H507" s="2884"/>
      <c r="I507" s="2882" t="s">
        <v>2762</v>
      </c>
      <c r="J507" s="2884"/>
      <c r="K507" s="2268" t="s">
        <v>2763</v>
      </c>
      <c r="L507" s="2268" t="s">
        <v>2764</v>
      </c>
      <c r="M507" s="2268" t="s">
        <v>2765</v>
      </c>
      <c r="N507" s="2269">
        <v>100000</v>
      </c>
      <c r="O507" s="2270" t="s">
        <v>2766</v>
      </c>
      <c r="P507" s="2270">
        <v>100000</v>
      </c>
      <c r="Q507" s="2268"/>
      <c r="R507" s="2268" t="s">
        <v>2767</v>
      </c>
      <c r="S507" s="2268" t="s">
        <v>2768</v>
      </c>
      <c r="T507" s="2268"/>
    </row>
    <row r="508" spans="1:20" ht="15">
      <c r="A508" s="2265"/>
      <c r="B508" s="2271" t="s">
        <v>676</v>
      </c>
      <c r="C508" s="2888" t="s">
        <v>676</v>
      </c>
      <c r="D508" s="2889"/>
      <c r="E508" s="2889"/>
      <c r="F508" s="2890"/>
      <c r="G508" s="2888" t="s">
        <v>676</v>
      </c>
      <c r="H508" s="2890"/>
      <c r="I508" s="2888" t="s">
        <v>676</v>
      </c>
      <c r="J508" s="2890"/>
      <c r="K508" s="2271" t="s">
        <v>676</v>
      </c>
      <c r="L508" s="2271" t="s">
        <v>676</v>
      </c>
      <c r="M508" s="2271" t="s">
        <v>676</v>
      </c>
      <c r="N508" s="2272" t="s">
        <v>676</v>
      </c>
      <c r="O508" s="2270" t="s">
        <v>2769</v>
      </c>
      <c r="P508" s="2270">
        <v>0</v>
      </c>
      <c r="Q508" s="2271" t="s">
        <v>676</v>
      </c>
      <c r="R508" s="2271" t="s">
        <v>676</v>
      </c>
      <c r="S508" s="2271" t="s">
        <v>676</v>
      </c>
      <c r="T508" s="2271" t="s">
        <v>676</v>
      </c>
    </row>
    <row r="509" spans="1:20" ht="15">
      <c r="A509" s="2265"/>
      <c r="B509" s="2271" t="s">
        <v>676</v>
      </c>
      <c r="C509" s="2891" t="s">
        <v>676</v>
      </c>
      <c r="D509" s="2889"/>
      <c r="E509" s="2889"/>
      <c r="F509" s="2890"/>
      <c r="G509" s="2892" t="s">
        <v>676</v>
      </c>
      <c r="H509" s="2889"/>
      <c r="I509" s="2888" t="s">
        <v>676</v>
      </c>
      <c r="J509" s="2890"/>
      <c r="K509" s="2271" t="s">
        <v>676</v>
      </c>
      <c r="L509" s="2271" t="s">
        <v>676</v>
      </c>
      <c r="M509" s="2271" t="s">
        <v>676</v>
      </c>
      <c r="N509" s="2272" t="s">
        <v>676</v>
      </c>
      <c r="O509" s="2270" t="s">
        <v>2770</v>
      </c>
      <c r="P509" s="2270">
        <v>0</v>
      </c>
      <c r="Q509" s="2271" t="s">
        <v>676</v>
      </c>
      <c r="R509" s="2271" t="s">
        <v>676</v>
      </c>
      <c r="S509" s="2271" t="s">
        <v>676</v>
      </c>
      <c r="T509" s="2271" t="s">
        <v>676</v>
      </c>
    </row>
    <row r="510" spans="1:20" ht="135">
      <c r="A510" s="2265"/>
      <c r="B510" s="2268">
        <v>10</v>
      </c>
      <c r="C510" s="2882" t="s">
        <v>2902</v>
      </c>
      <c r="D510" s="2883"/>
      <c r="E510" s="2883"/>
      <c r="F510" s="2884"/>
      <c r="G510" s="2882" t="s">
        <v>727</v>
      </c>
      <c r="H510" s="2884"/>
      <c r="I510" s="2882" t="s">
        <v>2762</v>
      </c>
      <c r="J510" s="2884"/>
      <c r="K510" s="2268" t="s">
        <v>2763</v>
      </c>
      <c r="L510" s="2268" t="s">
        <v>2764</v>
      </c>
      <c r="M510" s="2268" t="s">
        <v>2765</v>
      </c>
      <c r="N510" s="2269">
        <v>65000</v>
      </c>
      <c r="O510" s="2270" t="s">
        <v>2766</v>
      </c>
      <c r="P510" s="2270">
        <v>65000</v>
      </c>
      <c r="Q510" s="2268"/>
      <c r="R510" s="2268" t="s">
        <v>2767</v>
      </c>
      <c r="S510" s="2268" t="s">
        <v>2768</v>
      </c>
      <c r="T510" s="2268"/>
    </row>
    <row r="511" spans="1:20" ht="15">
      <c r="A511" s="2265"/>
      <c r="B511" s="2271" t="s">
        <v>676</v>
      </c>
      <c r="C511" s="2888" t="s">
        <v>676</v>
      </c>
      <c r="D511" s="2889"/>
      <c r="E511" s="2889"/>
      <c r="F511" s="2890"/>
      <c r="G511" s="2888" t="s">
        <v>676</v>
      </c>
      <c r="H511" s="2890"/>
      <c r="I511" s="2888" t="s">
        <v>676</v>
      </c>
      <c r="J511" s="2890"/>
      <c r="K511" s="2271" t="s">
        <v>676</v>
      </c>
      <c r="L511" s="2271" t="s">
        <v>676</v>
      </c>
      <c r="M511" s="2271" t="s">
        <v>676</v>
      </c>
      <c r="N511" s="2272" t="s">
        <v>676</v>
      </c>
      <c r="O511" s="2270" t="s">
        <v>2769</v>
      </c>
      <c r="P511" s="2270">
        <v>0</v>
      </c>
      <c r="Q511" s="2271" t="s">
        <v>676</v>
      </c>
      <c r="R511" s="2271" t="s">
        <v>676</v>
      </c>
      <c r="S511" s="2271" t="s">
        <v>676</v>
      </c>
      <c r="T511" s="2271" t="s">
        <v>676</v>
      </c>
    </row>
    <row r="512" spans="1:20" ht="15">
      <c r="A512" s="2265"/>
      <c r="B512" s="2271" t="s">
        <v>676</v>
      </c>
      <c r="C512" s="2891" t="s">
        <v>676</v>
      </c>
      <c r="D512" s="2889"/>
      <c r="E512" s="2889"/>
      <c r="F512" s="2890"/>
      <c r="G512" s="2892" t="s">
        <v>676</v>
      </c>
      <c r="H512" s="2889"/>
      <c r="I512" s="2888" t="s">
        <v>676</v>
      </c>
      <c r="J512" s="2890"/>
      <c r="K512" s="2271" t="s">
        <v>676</v>
      </c>
      <c r="L512" s="2271" t="s">
        <v>676</v>
      </c>
      <c r="M512" s="2271" t="s">
        <v>676</v>
      </c>
      <c r="N512" s="2272" t="s">
        <v>676</v>
      </c>
      <c r="O512" s="2270" t="s">
        <v>2770</v>
      </c>
      <c r="P512" s="2270">
        <v>0</v>
      </c>
      <c r="Q512" s="2271" t="s">
        <v>676</v>
      </c>
      <c r="R512" s="2271" t="s">
        <v>676</v>
      </c>
      <c r="S512" s="2271" t="s">
        <v>676</v>
      </c>
      <c r="T512" s="2271" t="s">
        <v>676</v>
      </c>
    </row>
    <row r="513" spans="1:20" ht="135">
      <c r="A513" s="2265"/>
      <c r="B513" s="2268">
        <v>11</v>
      </c>
      <c r="C513" s="2882" t="s">
        <v>2903</v>
      </c>
      <c r="D513" s="2883"/>
      <c r="E513" s="2883"/>
      <c r="F513" s="2884"/>
      <c r="G513" s="2882" t="s">
        <v>2904</v>
      </c>
      <c r="H513" s="2884"/>
      <c r="I513" s="2882" t="s">
        <v>2762</v>
      </c>
      <c r="J513" s="2884"/>
      <c r="K513" s="2268" t="s">
        <v>2763</v>
      </c>
      <c r="L513" s="2268" t="s">
        <v>2764</v>
      </c>
      <c r="M513" s="2268" t="s">
        <v>2765</v>
      </c>
      <c r="N513" s="2269">
        <v>100000</v>
      </c>
      <c r="O513" s="2270" t="s">
        <v>2766</v>
      </c>
      <c r="P513" s="2270">
        <v>100000</v>
      </c>
      <c r="Q513" s="2268"/>
      <c r="R513" s="2268" t="s">
        <v>2767</v>
      </c>
      <c r="S513" s="2268" t="s">
        <v>2768</v>
      </c>
      <c r="T513" s="2268"/>
    </row>
    <row r="514" spans="1:20" ht="15">
      <c r="A514" s="2265"/>
      <c r="B514" s="2271" t="s">
        <v>676</v>
      </c>
      <c r="C514" s="2888" t="s">
        <v>676</v>
      </c>
      <c r="D514" s="2889"/>
      <c r="E514" s="2889"/>
      <c r="F514" s="2890"/>
      <c r="G514" s="2888" t="s">
        <v>676</v>
      </c>
      <c r="H514" s="2890"/>
      <c r="I514" s="2888" t="s">
        <v>676</v>
      </c>
      <c r="J514" s="2890"/>
      <c r="K514" s="2271" t="s">
        <v>676</v>
      </c>
      <c r="L514" s="2271" t="s">
        <v>676</v>
      </c>
      <c r="M514" s="2271" t="s">
        <v>676</v>
      </c>
      <c r="N514" s="2272" t="s">
        <v>676</v>
      </c>
      <c r="O514" s="2270" t="s">
        <v>2769</v>
      </c>
      <c r="P514" s="2270">
        <v>0</v>
      </c>
      <c r="Q514" s="2271" t="s">
        <v>676</v>
      </c>
      <c r="R514" s="2271" t="s">
        <v>676</v>
      </c>
      <c r="S514" s="2271" t="s">
        <v>676</v>
      </c>
      <c r="T514" s="2271" t="s">
        <v>676</v>
      </c>
    </row>
    <row r="515" spans="1:20" ht="15">
      <c r="A515" s="2265"/>
      <c r="B515" s="2271" t="s">
        <v>676</v>
      </c>
      <c r="C515" s="2891" t="s">
        <v>676</v>
      </c>
      <c r="D515" s="2889"/>
      <c r="E515" s="2889"/>
      <c r="F515" s="2890"/>
      <c r="G515" s="2892" t="s">
        <v>676</v>
      </c>
      <c r="H515" s="2889"/>
      <c r="I515" s="2888" t="s">
        <v>676</v>
      </c>
      <c r="J515" s="2890"/>
      <c r="K515" s="2271" t="s">
        <v>676</v>
      </c>
      <c r="L515" s="2271" t="s">
        <v>676</v>
      </c>
      <c r="M515" s="2271" t="s">
        <v>676</v>
      </c>
      <c r="N515" s="2272" t="s">
        <v>676</v>
      </c>
      <c r="O515" s="2270" t="s">
        <v>2770</v>
      </c>
      <c r="P515" s="2270">
        <v>0</v>
      </c>
      <c r="Q515" s="2271" t="s">
        <v>676</v>
      </c>
      <c r="R515" s="2271" t="s">
        <v>676</v>
      </c>
      <c r="S515" s="2271" t="s">
        <v>676</v>
      </c>
      <c r="T515" s="2271" t="s">
        <v>676</v>
      </c>
    </row>
    <row r="516" spans="1:20" ht="90">
      <c r="A516" s="2265"/>
      <c r="B516" s="2268">
        <v>12</v>
      </c>
      <c r="C516" s="2882" t="s">
        <v>2782</v>
      </c>
      <c r="D516" s="2883"/>
      <c r="E516" s="2883"/>
      <c r="F516" s="2884"/>
      <c r="G516" s="2882" t="s">
        <v>1106</v>
      </c>
      <c r="H516" s="2884"/>
      <c r="I516" s="2882" t="s">
        <v>2762</v>
      </c>
      <c r="J516" s="2884"/>
      <c r="K516" s="2268" t="s">
        <v>2763</v>
      </c>
      <c r="L516" s="2268" t="s">
        <v>2775</v>
      </c>
      <c r="M516" s="2268" t="s">
        <v>2776</v>
      </c>
      <c r="N516" s="2269">
        <v>100000</v>
      </c>
      <c r="O516" s="2270" t="s">
        <v>2766</v>
      </c>
      <c r="P516" s="2270">
        <v>100000</v>
      </c>
      <c r="Q516" s="2268" t="s">
        <v>688</v>
      </c>
      <c r="R516" s="2268" t="s">
        <v>2767</v>
      </c>
      <c r="S516" s="2268" t="s">
        <v>2768</v>
      </c>
      <c r="T516" s="2268"/>
    </row>
    <row r="517" spans="1:20" ht="15">
      <c r="A517" s="2265"/>
      <c r="B517" s="2271" t="s">
        <v>676</v>
      </c>
      <c r="C517" s="2888" t="s">
        <v>676</v>
      </c>
      <c r="D517" s="2889"/>
      <c r="E517" s="2889"/>
      <c r="F517" s="2890"/>
      <c r="G517" s="2888" t="s">
        <v>676</v>
      </c>
      <c r="H517" s="2890"/>
      <c r="I517" s="2888" t="s">
        <v>676</v>
      </c>
      <c r="J517" s="2890"/>
      <c r="K517" s="2271" t="s">
        <v>676</v>
      </c>
      <c r="L517" s="2271" t="s">
        <v>676</v>
      </c>
      <c r="M517" s="2271" t="s">
        <v>676</v>
      </c>
      <c r="N517" s="2272" t="s">
        <v>676</v>
      </c>
      <c r="O517" s="2270" t="s">
        <v>2769</v>
      </c>
      <c r="P517" s="2270">
        <v>0</v>
      </c>
      <c r="Q517" s="2271" t="s">
        <v>676</v>
      </c>
      <c r="R517" s="2271" t="s">
        <v>676</v>
      </c>
      <c r="S517" s="2271" t="s">
        <v>676</v>
      </c>
      <c r="T517" s="2271" t="s">
        <v>676</v>
      </c>
    </row>
    <row r="518" spans="1:20" ht="15">
      <c r="A518" s="2265"/>
      <c r="B518" s="2271" t="s">
        <v>676</v>
      </c>
      <c r="C518" s="2891" t="s">
        <v>676</v>
      </c>
      <c r="D518" s="2889"/>
      <c r="E518" s="2889"/>
      <c r="F518" s="2890"/>
      <c r="G518" s="2892" t="s">
        <v>676</v>
      </c>
      <c r="H518" s="2889"/>
      <c r="I518" s="2888" t="s">
        <v>676</v>
      </c>
      <c r="J518" s="2890"/>
      <c r="K518" s="2271" t="s">
        <v>676</v>
      </c>
      <c r="L518" s="2271" t="s">
        <v>676</v>
      </c>
      <c r="M518" s="2271" t="s">
        <v>676</v>
      </c>
      <c r="N518" s="2272" t="s">
        <v>676</v>
      </c>
      <c r="O518" s="2270" t="s">
        <v>2770</v>
      </c>
      <c r="P518" s="2270">
        <v>0</v>
      </c>
      <c r="Q518" s="2271" t="s">
        <v>676</v>
      </c>
      <c r="R518" s="2271" t="s">
        <v>676</v>
      </c>
      <c r="S518" s="2271" t="s">
        <v>676</v>
      </c>
      <c r="T518" s="2271" t="s">
        <v>676</v>
      </c>
    </row>
    <row r="519" spans="1:20" ht="90">
      <c r="A519" s="2265"/>
      <c r="B519" s="2268">
        <v>13</v>
      </c>
      <c r="C519" s="2882" t="s">
        <v>2905</v>
      </c>
      <c r="D519" s="2883"/>
      <c r="E519" s="2883"/>
      <c r="F519" s="2884"/>
      <c r="G519" s="2882" t="s">
        <v>675</v>
      </c>
      <c r="H519" s="2884"/>
      <c r="I519" s="2882" t="s">
        <v>2762</v>
      </c>
      <c r="J519" s="2884"/>
      <c r="K519" s="2268" t="s">
        <v>2763</v>
      </c>
      <c r="L519" s="2268" t="s">
        <v>2775</v>
      </c>
      <c r="M519" s="2268" t="s">
        <v>2776</v>
      </c>
      <c r="N519" s="2269">
        <v>500000</v>
      </c>
      <c r="O519" s="2270" t="s">
        <v>2766</v>
      </c>
      <c r="P519" s="2270">
        <v>500000</v>
      </c>
      <c r="Q519" s="2268" t="s">
        <v>688</v>
      </c>
      <c r="R519" s="2268" t="s">
        <v>2767</v>
      </c>
      <c r="S519" s="2268" t="s">
        <v>2768</v>
      </c>
      <c r="T519" s="2268"/>
    </row>
    <row r="520" spans="1:20" ht="15">
      <c r="A520" s="2265"/>
      <c r="B520" s="2271" t="s">
        <v>676</v>
      </c>
      <c r="C520" s="2888" t="s">
        <v>676</v>
      </c>
      <c r="D520" s="2889"/>
      <c r="E520" s="2889"/>
      <c r="F520" s="2890"/>
      <c r="G520" s="2888" t="s">
        <v>676</v>
      </c>
      <c r="H520" s="2890"/>
      <c r="I520" s="2888" t="s">
        <v>676</v>
      </c>
      <c r="J520" s="2890"/>
      <c r="K520" s="2271" t="s">
        <v>676</v>
      </c>
      <c r="L520" s="2271" t="s">
        <v>676</v>
      </c>
      <c r="M520" s="2271" t="s">
        <v>676</v>
      </c>
      <c r="N520" s="2272" t="s">
        <v>676</v>
      </c>
      <c r="O520" s="2270" t="s">
        <v>2769</v>
      </c>
      <c r="P520" s="2270">
        <v>0</v>
      </c>
      <c r="Q520" s="2271" t="s">
        <v>676</v>
      </c>
      <c r="R520" s="2271" t="s">
        <v>676</v>
      </c>
      <c r="S520" s="2271" t="s">
        <v>676</v>
      </c>
      <c r="T520" s="2271" t="s">
        <v>676</v>
      </c>
    </row>
    <row r="521" spans="1:20" ht="15">
      <c r="A521" s="2265"/>
      <c r="B521" s="2271" t="s">
        <v>676</v>
      </c>
      <c r="C521" s="2891" t="s">
        <v>676</v>
      </c>
      <c r="D521" s="2889"/>
      <c r="E521" s="2889"/>
      <c r="F521" s="2890"/>
      <c r="G521" s="2892" t="s">
        <v>676</v>
      </c>
      <c r="H521" s="2889"/>
      <c r="I521" s="2888" t="s">
        <v>676</v>
      </c>
      <c r="J521" s="2890"/>
      <c r="K521" s="2271" t="s">
        <v>676</v>
      </c>
      <c r="L521" s="2271" t="s">
        <v>676</v>
      </c>
      <c r="M521" s="2271" t="s">
        <v>676</v>
      </c>
      <c r="N521" s="2272" t="s">
        <v>676</v>
      </c>
      <c r="O521" s="2270" t="s">
        <v>2770</v>
      </c>
      <c r="P521" s="2270">
        <v>0</v>
      </c>
      <c r="Q521" s="2271" t="s">
        <v>676</v>
      </c>
      <c r="R521" s="2271" t="s">
        <v>676</v>
      </c>
      <c r="S521" s="2271" t="s">
        <v>676</v>
      </c>
      <c r="T521" s="2271" t="s">
        <v>676</v>
      </c>
    </row>
    <row r="522" spans="1:20" ht="135">
      <c r="A522" s="2265"/>
      <c r="B522" s="2268">
        <v>14</v>
      </c>
      <c r="C522" s="2882" t="s">
        <v>2906</v>
      </c>
      <c r="D522" s="2883"/>
      <c r="E522" s="2883"/>
      <c r="F522" s="2884"/>
      <c r="G522" s="2882" t="s">
        <v>2907</v>
      </c>
      <c r="H522" s="2884"/>
      <c r="I522" s="2882" t="s">
        <v>2762</v>
      </c>
      <c r="J522" s="2884"/>
      <c r="K522" s="2268" t="s">
        <v>2763</v>
      </c>
      <c r="L522" s="2268" t="s">
        <v>2775</v>
      </c>
      <c r="M522" s="2268" t="s">
        <v>2765</v>
      </c>
      <c r="N522" s="2269">
        <v>100000</v>
      </c>
      <c r="O522" s="2270" t="s">
        <v>2766</v>
      </c>
      <c r="P522" s="2270">
        <v>100000</v>
      </c>
      <c r="Q522" s="2268"/>
      <c r="R522" s="2268" t="s">
        <v>2767</v>
      </c>
      <c r="S522" s="2268" t="s">
        <v>2768</v>
      </c>
      <c r="T522" s="2268"/>
    </row>
    <row r="523" spans="1:20" ht="15">
      <c r="A523" s="2265"/>
      <c r="B523" s="2271" t="s">
        <v>676</v>
      </c>
      <c r="C523" s="2888" t="s">
        <v>676</v>
      </c>
      <c r="D523" s="2889"/>
      <c r="E523" s="2889"/>
      <c r="F523" s="2890"/>
      <c r="G523" s="2888" t="s">
        <v>676</v>
      </c>
      <c r="H523" s="2890"/>
      <c r="I523" s="2888" t="s">
        <v>676</v>
      </c>
      <c r="J523" s="2890"/>
      <c r="K523" s="2271" t="s">
        <v>676</v>
      </c>
      <c r="L523" s="2271" t="s">
        <v>676</v>
      </c>
      <c r="M523" s="2271" t="s">
        <v>676</v>
      </c>
      <c r="N523" s="2272" t="s">
        <v>676</v>
      </c>
      <c r="O523" s="2270" t="s">
        <v>2769</v>
      </c>
      <c r="P523" s="2270">
        <v>0</v>
      </c>
      <c r="Q523" s="2271" t="s">
        <v>676</v>
      </c>
      <c r="R523" s="2271" t="s">
        <v>676</v>
      </c>
      <c r="S523" s="2271" t="s">
        <v>676</v>
      </c>
      <c r="T523" s="2271" t="s">
        <v>676</v>
      </c>
    </row>
    <row r="524" spans="1:20" ht="15">
      <c r="A524" s="2265"/>
      <c r="B524" s="2271" t="s">
        <v>676</v>
      </c>
      <c r="C524" s="2891" t="s">
        <v>676</v>
      </c>
      <c r="D524" s="2889"/>
      <c r="E524" s="2889"/>
      <c r="F524" s="2890"/>
      <c r="G524" s="2892" t="s">
        <v>676</v>
      </c>
      <c r="H524" s="2889"/>
      <c r="I524" s="2888" t="s">
        <v>676</v>
      </c>
      <c r="J524" s="2890"/>
      <c r="K524" s="2271" t="s">
        <v>676</v>
      </c>
      <c r="L524" s="2271" t="s">
        <v>676</v>
      </c>
      <c r="M524" s="2271" t="s">
        <v>676</v>
      </c>
      <c r="N524" s="2272" t="s">
        <v>676</v>
      </c>
      <c r="O524" s="2270" t="s">
        <v>2770</v>
      </c>
      <c r="P524" s="2270">
        <v>0</v>
      </c>
      <c r="Q524" s="2271" t="s">
        <v>676</v>
      </c>
      <c r="R524" s="2271" t="s">
        <v>676</v>
      </c>
      <c r="S524" s="2271" t="s">
        <v>676</v>
      </c>
      <c r="T524" s="2271" t="s">
        <v>676</v>
      </c>
    </row>
    <row r="525" spans="1:20" ht="135">
      <c r="A525" s="2265"/>
      <c r="B525" s="2268">
        <v>15</v>
      </c>
      <c r="C525" s="2882" t="s">
        <v>2908</v>
      </c>
      <c r="D525" s="2883"/>
      <c r="E525" s="2883"/>
      <c r="F525" s="2884"/>
      <c r="G525" s="2882" t="s">
        <v>2909</v>
      </c>
      <c r="H525" s="2884"/>
      <c r="I525" s="2882" t="s">
        <v>2762</v>
      </c>
      <c r="J525" s="2884"/>
      <c r="K525" s="2268" t="s">
        <v>2763</v>
      </c>
      <c r="L525" s="2268" t="s">
        <v>2764</v>
      </c>
      <c r="M525" s="2268" t="s">
        <v>2765</v>
      </c>
      <c r="N525" s="2269">
        <v>100000</v>
      </c>
      <c r="O525" s="2270" t="s">
        <v>2766</v>
      </c>
      <c r="P525" s="2270">
        <v>100000</v>
      </c>
      <c r="Q525" s="2268"/>
      <c r="R525" s="2268" t="s">
        <v>2767</v>
      </c>
      <c r="S525" s="2268" t="s">
        <v>2768</v>
      </c>
      <c r="T525" s="2268"/>
    </row>
    <row r="526" spans="1:20" ht="15">
      <c r="A526" s="2265"/>
      <c r="B526" s="2271" t="s">
        <v>676</v>
      </c>
      <c r="C526" s="2888" t="s">
        <v>676</v>
      </c>
      <c r="D526" s="2889"/>
      <c r="E526" s="2889"/>
      <c r="F526" s="2890"/>
      <c r="G526" s="2888" t="s">
        <v>676</v>
      </c>
      <c r="H526" s="2890"/>
      <c r="I526" s="2888" t="s">
        <v>676</v>
      </c>
      <c r="J526" s="2890"/>
      <c r="K526" s="2271" t="s">
        <v>676</v>
      </c>
      <c r="L526" s="2271" t="s">
        <v>676</v>
      </c>
      <c r="M526" s="2271" t="s">
        <v>676</v>
      </c>
      <c r="N526" s="2272" t="s">
        <v>676</v>
      </c>
      <c r="O526" s="2270" t="s">
        <v>2769</v>
      </c>
      <c r="P526" s="2270">
        <v>0</v>
      </c>
      <c r="Q526" s="2271" t="s">
        <v>676</v>
      </c>
      <c r="R526" s="2271" t="s">
        <v>676</v>
      </c>
      <c r="S526" s="2271" t="s">
        <v>676</v>
      </c>
      <c r="T526" s="2271" t="s">
        <v>676</v>
      </c>
    </row>
    <row r="527" spans="1:20" ht="15">
      <c r="A527" s="2265"/>
      <c r="B527" s="2271" t="s">
        <v>676</v>
      </c>
      <c r="C527" s="2891" t="s">
        <v>676</v>
      </c>
      <c r="D527" s="2889"/>
      <c r="E527" s="2889"/>
      <c r="F527" s="2890"/>
      <c r="G527" s="2892" t="s">
        <v>676</v>
      </c>
      <c r="H527" s="2889"/>
      <c r="I527" s="2888" t="s">
        <v>676</v>
      </c>
      <c r="J527" s="2890"/>
      <c r="K527" s="2271" t="s">
        <v>676</v>
      </c>
      <c r="L527" s="2271" t="s">
        <v>676</v>
      </c>
      <c r="M527" s="2271" t="s">
        <v>676</v>
      </c>
      <c r="N527" s="2272" t="s">
        <v>676</v>
      </c>
      <c r="O527" s="2270" t="s">
        <v>2770</v>
      </c>
      <c r="P527" s="2270">
        <v>0</v>
      </c>
      <c r="Q527" s="2271" t="s">
        <v>676</v>
      </c>
      <c r="R527" s="2271" t="s">
        <v>676</v>
      </c>
      <c r="S527" s="2271" t="s">
        <v>676</v>
      </c>
      <c r="T527" s="2271" t="s">
        <v>676</v>
      </c>
    </row>
    <row r="528" spans="1:20" ht="135">
      <c r="A528" s="2265"/>
      <c r="B528" s="2268">
        <v>16</v>
      </c>
      <c r="C528" s="2882" t="s">
        <v>2910</v>
      </c>
      <c r="D528" s="2883"/>
      <c r="E528" s="2883"/>
      <c r="F528" s="2884"/>
      <c r="G528" s="2882" t="s">
        <v>2911</v>
      </c>
      <c r="H528" s="2884"/>
      <c r="I528" s="2882" t="s">
        <v>2762</v>
      </c>
      <c r="J528" s="2884"/>
      <c r="K528" s="2268" t="s">
        <v>2763</v>
      </c>
      <c r="L528" s="2268" t="s">
        <v>2764</v>
      </c>
      <c r="M528" s="2268" t="s">
        <v>2765</v>
      </c>
      <c r="N528" s="2269">
        <v>100000</v>
      </c>
      <c r="O528" s="2270" t="s">
        <v>2766</v>
      </c>
      <c r="P528" s="2270">
        <v>100000</v>
      </c>
      <c r="Q528" s="2268"/>
      <c r="R528" s="2268" t="s">
        <v>2767</v>
      </c>
      <c r="S528" s="2268" t="s">
        <v>2768</v>
      </c>
      <c r="T528" s="2268"/>
    </row>
    <row r="529" spans="1:20" ht="15">
      <c r="A529" s="2265"/>
      <c r="B529" s="2271" t="s">
        <v>676</v>
      </c>
      <c r="C529" s="2888" t="s">
        <v>676</v>
      </c>
      <c r="D529" s="2889"/>
      <c r="E529" s="2889"/>
      <c r="F529" s="2890"/>
      <c r="G529" s="2888" t="s">
        <v>676</v>
      </c>
      <c r="H529" s="2890"/>
      <c r="I529" s="2888" t="s">
        <v>676</v>
      </c>
      <c r="J529" s="2890"/>
      <c r="K529" s="2271" t="s">
        <v>676</v>
      </c>
      <c r="L529" s="2271" t="s">
        <v>676</v>
      </c>
      <c r="M529" s="2271" t="s">
        <v>676</v>
      </c>
      <c r="N529" s="2272" t="s">
        <v>676</v>
      </c>
      <c r="O529" s="2270" t="s">
        <v>2769</v>
      </c>
      <c r="P529" s="2270">
        <v>0</v>
      </c>
      <c r="Q529" s="2271" t="s">
        <v>676</v>
      </c>
      <c r="R529" s="2271" t="s">
        <v>676</v>
      </c>
      <c r="S529" s="2271" t="s">
        <v>676</v>
      </c>
      <c r="T529" s="2271" t="s">
        <v>676</v>
      </c>
    </row>
    <row r="530" spans="1:20" ht="15">
      <c r="A530" s="2265"/>
      <c r="B530" s="2271" t="s">
        <v>676</v>
      </c>
      <c r="C530" s="2891" t="s">
        <v>676</v>
      </c>
      <c r="D530" s="2889"/>
      <c r="E530" s="2889"/>
      <c r="F530" s="2890"/>
      <c r="G530" s="2892" t="s">
        <v>676</v>
      </c>
      <c r="H530" s="2889"/>
      <c r="I530" s="2888" t="s">
        <v>676</v>
      </c>
      <c r="J530" s="2890"/>
      <c r="K530" s="2271" t="s">
        <v>676</v>
      </c>
      <c r="L530" s="2271" t="s">
        <v>676</v>
      </c>
      <c r="M530" s="2271" t="s">
        <v>676</v>
      </c>
      <c r="N530" s="2272" t="s">
        <v>676</v>
      </c>
      <c r="O530" s="2270" t="s">
        <v>2770</v>
      </c>
      <c r="P530" s="2270">
        <v>0</v>
      </c>
      <c r="Q530" s="2271" t="s">
        <v>676</v>
      </c>
      <c r="R530" s="2271" t="s">
        <v>676</v>
      </c>
      <c r="S530" s="2271" t="s">
        <v>676</v>
      </c>
      <c r="T530" s="2271" t="s">
        <v>676</v>
      </c>
    </row>
    <row r="531" spans="1:20" ht="90">
      <c r="A531" s="2265"/>
      <c r="B531" s="2268">
        <v>17</v>
      </c>
      <c r="C531" s="2882" t="s">
        <v>2912</v>
      </c>
      <c r="D531" s="2883"/>
      <c r="E531" s="2883"/>
      <c r="F531" s="2884"/>
      <c r="G531" s="2882" t="s">
        <v>1438</v>
      </c>
      <c r="H531" s="2884"/>
      <c r="I531" s="2882" t="s">
        <v>2762</v>
      </c>
      <c r="J531" s="2884"/>
      <c r="K531" s="2268" t="s">
        <v>2763</v>
      </c>
      <c r="L531" s="2268" t="s">
        <v>2775</v>
      </c>
      <c r="M531" s="2268" t="s">
        <v>2776</v>
      </c>
      <c r="N531" s="2269">
        <v>700000</v>
      </c>
      <c r="O531" s="2270" t="s">
        <v>2766</v>
      </c>
      <c r="P531" s="2270">
        <v>700000</v>
      </c>
      <c r="Q531" s="2268" t="s">
        <v>688</v>
      </c>
      <c r="R531" s="2268" t="s">
        <v>2767</v>
      </c>
      <c r="S531" s="2268" t="s">
        <v>2768</v>
      </c>
      <c r="T531" s="2268"/>
    </row>
    <row r="532" spans="1:20" ht="15">
      <c r="A532" s="2265"/>
      <c r="B532" s="2271" t="s">
        <v>676</v>
      </c>
      <c r="C532" s="2888" t="s">
        <v>676</v>
      </c>
      <c r="D532" s="2889"/>
      <c r="E532" s="2889"/>
      <c r="F532" s="2890"/>
      <c r="G532" s="2888" t="s">
        <v>676</v>
      </c>
      <c r="H532" s="2890"/>
      <c r="I532" s="2888" t="s">
        <v>676</v>
      </c>
      <c r="J532" s="2890"/>
      <c r="K532" s="2271" t="s">
        <v>676</v>
      </c>
      <c r="L532" s="2271" t="s">
        <v>676</v>
      </c>
      <c r="M532" s="2271" t="s">
        <v>676</v>
      </c>
      <c r="N532" s="2272" t="s">
        <v>676</v>
      </c>
      <c r="O532" s="2270" t="s">
        <v>2769</v>
      </c>
      <c r="P532" s="2270">
        <v>0</v>
      </c>
      <c r="Q532" s="2271" t="s">
        <v>676</v>
      </c>
      <c r="R532" s="2271" t="s">
        <v>676</v>
      </c>
      <c r="S532" s="2271" t="s">
        <v>676</v>
      </c>
      <c r="T532" s="2271" t="s">
        <v>676</v>
      </c>
    </row>
    <row r="533" spans="1:20" ht="15">
      <c r="A533" s="2265"/>
      <c r="B533" s="2273" t="s">
        <v>676</v>
      </c>
      <c r="C533" s="2896" t="s">
        <v>676</v>
      </c>
      <c r="D533" s="2942"/>
      <c r="E533" s="2942"/>
      <c r="F533" s="2943"/>
      <c r="G533" s="2899" t="s">
        <v>676</v>
      </c>
      <c r="H533" s="2942"/>
      <c r="I533" s="2900" t="s">
        <v>676</v>
      </c>
      <c r="J533" s="2943"/>
      <c r="K533" s="2273" t="s">
        <v>676</v>
      </c>
      <c r="L533" s="2273" t="s">
        <v>676</v>
      </c>
      <c r="M533" s="2273" t="s">
        <v>676</v>
      </c>
      <c r="N533" s="2274" t="s">
        <v>676</v>
      </c>
      <c r="O533" s="2270" t="s">
        <v>2770</v>
      </c>
      <c r="P533" s="2270">
        <v>0</v>
      </c>
      <c r="Q533" s="2273" t="s">
        <v>676</v>
      </c>
      <c r="R533" s="2273" t="s">
        <v>676</v>
      </c>
      <c r="S533" s="2273" t="s">
        <v>676</v>
      </c>
      <c r="T533" s="2273" t="s">
        <v>676</v>
      </c>
    </row>
    <row r="534" spans="1:20" ht="15">
      <c r="A534" s="2285"/>
      <c r="B534" s="2305"/>
      <c r="C534" s="2290" t="s">
        <v>82</v>
      </c>
      <c r="D534" s="2290"/>
      <c r="E534" s="2290"/>
      <c r="F534" s="2290"/>
      <c r="G534" s="2290"/>
      <c r="H534" s="2290"/>
      <c r="I534" s="2290"/>
      <c r="J534" s="2290"/>
      <c r="K534" s="2290"/>
      <c r="L534" s="2290"/>
      <c r="M534" s="2289"/>
      <c r="N534" s="2290">
        <f>SUM(N483:N533)</f>
        <v>3695000</v>
      </c>
      <c r="O534" s="2290"/>
      <c r="P534" s="2290">
        <f>SUM(P483:P533)</f>
        <v>3695000</v>
      </c>
      <c r="Q534" s="2290"/>
      <c r="R534" s="2290"/>
      <c r="S534" s="2290"/>
      <c r="T534" s="2291"/>
    </row>
    <row r="535" spans="1:20" ht="20.25">
      <c r="A535" s="2285"/>
      <c r="B535" s="2285"/>
      <c r="C535" s="2285"/>
      <c r="D535" s="2285"/>
      <c r="E535" s="2285"/>
      <c r="F535" s="2285"/>
      <c r="G535" s="2285"/>
      <c r="H535" s="2285"/>
      <c r="I535" s="2285"/>
      <c r="J535" s="2285"/>
      <c r="K535" s="2285"/>
      <c r="L535" s="2285"/>
      <c r="M535" s="2300"/>
      <c r="N535" s="2285"/>
      <c r="O535" s="2284" t="s">
        <v>2789</v>
      </c>
      <c r="P535" s="2285"/>
      <c r="Q535" s="2285"/>
      <c r="R535" s="2285"/>
      <c r="S535" s="2285"/>
      <c r="T535" s="2285"/>
    </row>
    <row r="536" spans="1:20" ht="20.25">
      <c r="A536" s="2285"/>
      <c r="B536" s="2285"/>
      <c r="C536" s="2285"/>
      <c r="D536" s="2285"/>
      <c r="E536" s="2285"/>
      <c r="F536" s="2285"/>
      <c r="G536" s="2285"/>
      <c r="H536" s="2285"/>
      <c r="I536" s="2285"/>
      <c r="J536" s="2285"/>
      <c r="K536" s="2285"/>
      <c r="L536" s="2285"/>
      <c r="M536" s="2300"/>
      <c r="N536" s="2285"/>
      <c r="O536" s="2284" t="s">
        <v>2790</v>
      </c>
      <c r="P536" s="2285"/>
      <c r="Q536" s="2285"/>
      <c r="R536" s="2285"/>
      <c r="S536" s="2285"/>
      <c r="T536" s="2285"/>
    </row>
    <row r="537" spans="1:20" ht="15">
      <c r="A537" s="2285"/>
      <c r="B537" s="2285"/>
      <c r="C537" s="2285"/>
      <c r="D537" s="2285"/>
      <c r="E537" s="2285"/>
      <c r="F537" s="2285"/>
      <c r="G537" s="2285"/>
      <c r="H537" s="2285"/>
      <c r="I537" s="2285"/>
      <c r="J537" s="2285"/>
      <c r="K537" s="2285"/>
      <c r="L537" s="2285"/>
      <c r="M537" s="2300"/>
      <c r="N537" s="2285"/>
      <c r="O537" s="2285"/>
      <c r="P537" s="2285"/>
      <c r="Q537" s="2285"/>
      <c r="R537" s="2285"/>
      <c r="S537" s="2285"/>
      <c r="T537" s="2285"/>
    </row>
    <row r="538" spans="1:20" ht="15">
      <c r="A538" s="2285"/>
      <c r="B538" s="2285"/>
      <c r="C538" s="2285"/>
      <c r="D538" s="2285"/>
      <c r="E538" s="2285"/>
      <c r="F538" s="2285"/>
      <c r="G538" s="2285"/>
      <c r="H538" s="2285"/>
      <c r="I538" s="2285"/>
      <c r="J538" s="2285"/>
      <c r="K538" s="2285"/>
      <c r="L538" s="2285"/>
      <c r="M538" s="2300"/>
      <c r="N538" s="2285"/>
      <c r="O538" s="2285"/>
      <c r="P538" s="2285"/>
      <c r="Q538" s="2285"/>
      <c r="R538" s="2285"/>
      <c r="S538" s="2285"/>
      <c r="T538" s="2285"/>
    </row>
    <row r="539" spans="1:20" ht="23.25">
      <c r="A539" s="2985" t="s">
        <v>2749</v>
      </c>
      <c r="B539" s="2986"/>
      <c r="C539" s="2986"/>
      <c r="D539" s="2986"/>
      <c r="E539" s="2986"/>
      <c r="F539" s="2986"/>
      <c r="G539" s="2986"/>
      <c r="H539" s="2265"/>
      <c r="I539" s="2265"/>
      <c r="J539" s="2265"/>
      <c r="K539" s="2265"/>
      <c r="L539" s="2265"/>
      <c r="M539" s="2306"/>
      <c r="N539" s="2307"/>
      <c r="O539" s="2307"/>
      <c r="P539" s="2307"/>
      <c r="Q539" s="2265"/>
      <c r="R539" s="2265"/>
      <c r="S539" s="2265"/>
      <c r="T539" s="2265"/>
    </row>
    <row r="540" spans="1:20" ht="15">
      <c r="A540" s="2265"/>
      <c r="B540" s="2265"/>
      <c r="C540" s="2265"/>
      <c r="D540" s="2265"/>
      <c r="E540" s="2265"/>
      <c r="F540" s="2265"/>
      <c r="G540" s="2265"/>
      <c r="H540" s="2265"/>
      <c r="I540" s="2265"/>
      <c r="J540" s="2265"/>
      <c r="K540" s="2265"/>
      <c r="L540" s="2265"/>
      <c r="M540" s="2306"/>
      <c r="N540" s="2307"/>
      <c r="O540" s="2307"/>
      <c r="P540" s="2307"/>
      <c r="Q540" s="2265"/>
      <c r="R540" s="2265"/>
      <c r="S540" s="2265"/>
      <c r="T540" s="2265"/>
    </row>
    <row r="541" spans="1:20" ht="60">
      <c r="A541" s="2960" t="s">
        <v>653</v>
      </c>
      <c r="B541" s="2889"/>
      <c r="C541" s="2889"/>
      <c r="D541" s="2265"/>
      <c r="E541" s="2264" t="s">
        <v>2556</v>
      </c>
      <c r="F541" s="2265"/>
      <c r="G541" s="2265"/>
      <c r="H541" s="2265"/>
      <c r="I541" s="2265"/>
      <c r="J541" s="2265"/>
      <c r="K541" s="2265"/>
      <c r="L541" s="2265"/>
      <c r="M541" s="2306"/>
      <c r="N541" s="2307"/>
      <c r="O541" s="2307"/>
      <c r="P541" s="2307"/>
      <c r="Q541" s="2265"/>
      <c r="R541" s="2265"/>
      <c r="S541" s="2265"/>
      <c r="T541" s="2265"/>
    </row>
    <row r="542" spans="1:20" ht="15">
      <c r="A542" s="2265"/>
      <c r="B542" s="2265"/>
      <c r="C542" s="2265"/>
      <c r="D542" s="2265"/>
      <c r="E542" s="2265"/>
      <c r="F542" s="2265"/>
      <c r="G542" s="2265"/>
      <c r="H542" s="2265"/>
      <c r="I542" s="2265"/>
      <c r="J542" s="2265"/>
      <c r="K542" s="2265"/>
      <c r="L542" s="2265"/>
      <c r="M542" s="2306"/>
      <c r="N542" s="2307"/>
      <c r="O542" s="2307"/>
      <c r="P542" s="2307"/>
      <c r="Q542" s="2265"/>
      <c r="R542" s="2265"/>
      <c r="S542" s="2265"/>
      <c r="T542" s="2265"/>
    </row>
    <row r="543" spans="1:20" ht="15">
      <c r="A543" s="2960" t="s">
        <v>655</v>
      </c>
      <c r="B543" s="2889"/>
      <c r="C543" s="2889"/>
      <c r="D543" s="2265"/>
      <c r="E543" s="2961" t="s">
        <v>2913</v>
      </c>
      <c r="F543" s="2889"/>
      <c r="G543" s="2889"/>
      <c r="H543" s="2889"/>
      <c r="I543" s="2889"/>
      <c r="J543" s="2265"/>
      <c r="K543" s="2265"/>
      <c r="L543" s="2265"/>
      <c r="M543" s="2306"/>
      <c r="N543" s="2307"/>
      <c r="O543" s="2307"/>
      <c r="P543" s="2307"/>
      <c r="Q543" s="2265"/>
      <c r="R543" s="2265"/>
      <c r="S543" s="2265"/>
      <c r="T543" s="2265"/>
    </row>
    <row r="544" spans="1:20" ht="15">
      <c r="A544" s="2265"/>
      <c r="B544" s="2265"/>
      <c r="C544" s="2265"/>
      <c r="D544" s="2265"/>
      <c r="E544" s="2265"/>
      <c r="F544" s="2265"/>
      <c r="G544" s="2265"/>
      <c r="H544" s="2265"/>
      <c r="I544" s="2265"/>
      <c r="J544" s="2265"/>
      <c r="K544" s="2265"/>
      <c r="L544" s="2265"/>
      <c r="M544" s="2306"/>
      <c r="N544" s="2307"/>
      <c r="O544" s="2307"/>
      <c r="P544" s="2307"/>
      <c r="Q544" s="2265"/>
      <c r="R544" s="2265"/>
      <c r="S544" s="2265"/>
      <c r="T544" s="2265"/>
    </row>
    <row r="545" spans="1:20" ht="126">
      <c r="A545" s="2265"/>
      <c r="B545" s="2266" t="s">
        <v>657</v>
      </c>
      <c r="C545" s="2893" t="s">
        <v>587</v>
      </c>
      <c r="D545" s="2894"/>
      <c r="E545" s="2894"/>
      <c r="F545" s="2895"/>
      <c r="G545" s="2893" t="s">
        <v>2751</v>
      </c>
      <c r="H545" s="2895"/>
      <c r="I545" s="2893" t="s">
        <v>2752</v>
      </c>
      <c r="J545" s="2895"/>
      <c r="K545" s="2266" t="s">
        <v>2753</v>
      </c>
      <c r="L545" s="2266" t="s">
        <v>2754</v>
      </c>
      <c r="M545" s="2266" t="s">
        <v>2755</v>
      </c>
      <c r="N545" s="2267" t="s">
        <v>2756</v>
      </c>
      <c r="O545" s="2267" t="s">
        <v>2757</v>
      </c>
      <c r="P545" s="2267" t="s">
        <v>2758</v>
      </c>
      <c r="Q545" s="2266" t="s">
        <v>623</v>
      </c>
      <c r="R545" s="2266" t="s">
        <v>2759</v>
      </c>
      <c r="S545" s="2266" t="s">
        <v>2760</v>
      </c>
      <c r="T545" s="2266" t="s">
        <v>2761</v>
      </c>
    </row>
    <row r="546" spans="1:20" ht="90">
      <c r="A546" s="2265"/>
      <c r="B546" s="2268">
        <v>1</v>
      </c>
      <c r="C546" s="2882" t="s">
        <v>2914</v>
      </c>
      <c r="D546" s="2883"/>
      <c r="E546" s="2883"/>
      <c r="F546" s="2884"/>
      <c r="G546" s="2882" t="s">
        <v>2915</v>
      </c>
      <c r="H546" s="2884"/>
      <c r="I546" s="2882" t="s">
        <v>2762</v>
      </c>
      <c r="J546" s="2884"/>
      <c r="K546" s="2268" t="s">
        <v>2763</v>
      </c>
      <c r="L546" s="2268" t="s">
        <v>2775</v>
      </c>
      <c r="M546" s="2268" t="s">
        <v>2776</v>
      </c>
      <c r="N546" s="2269">
        <v>500000</v>
      </c>
      <c r="O546" s="2270" t="s">
        <v>2766</v>
      </c>
      <c r="P546" s="2270">
        <v>500000</v>
      </c>
      <c r="Q546" s="2268" t="s">
        <v>688</v>
      </c>
      <c r="R546" s="2268" t="s">
        <v>2767</v>
      </c>
      <c r="S546" s="2268" t="s">
        <v>2768</v>
      </c>
      <c r="T546" s="2268"/>
    </row>
    <row r="547" spans="1:20" ht="15">
      <c r="A547" s="2265"/>
      <c r="B547" s="2271" t="s">
        <v>676</v>
      </c>
      <c r="C547" s="2888" t="s">
        <v>676</v>
      </c>
      <c r="D547" s="2889"/>
      <c r="E547" s="2889"/>
      <c r="F547" s="2890"/>
      <c r="G547" s="2888" t="s">
        <v>676</v>
      </c>
      <c r="H547" s="2890"/>
      <c r="I547" s="2888" t="s">
        <v>676</v>
      </c>
      <c r="J547" s="2890"/>
      <c r="K547" s="2271" t="s">
        <v>676</v>
      </c>
      <c r="L547" s="2271" t="s">
        <v>676</v>
      </c>
      <c r="M547" s="2271" t="s">
        <v>676</v>
      </c>
      <c r="N547" s="2272" t="s">
        <v>676</v>
      </c>
      <c r="O547" s="2270" t="s">
        <v>2769</v>
      </c>
      <c r="P547" s="2270">
        <v>0</v>
      </c>
      <c r="Q547" s="2271" t="s">
        <v>676</v>
      </c>
      <c r="R547" s="2271" t="s">
        <v>676</v>
      </c>
      <c r="S547" s="2271" t="s">
        <v>676</v>
      </c>
      <c r="T547" s="2271" t="s">
        <v>676</v>
      </c>
    </row>
    <row r="548" spans="1:20" ht="15">
      <c r="A548" s="2265"/>
      <c r="B548" s="2271" t="s">
        <v>676</v>
      </c>
      <c r="C548" s="2891" t="s">
        <v>676</v>
      </c>
      <c r="D548" s="2889"/>
      <c r="E548" s="2889"/>
      <c r="F548" s="2890"/>
      <c r="G548" s="2892" t="s">
        <v>676</v>
      </c>
      <c r="H548" s="2889"/>
      <c r="I548" s="2888" t="s">
        <v>676</v>
      </c>
      <c r="J548" s="2890"/>
      <c r="K548" s="2271" t="s">
        <v>676</v>
      </c>
      <c r="L548" s="2271" t="s">
        <v>676</v>
      </c>
      <c r="M548" s="2271" t="s">
        <v>676</v>
      </c>
      <c r="N548" s="2272" t="s">
        <v>676</v>
      </c>
      <c r="O548" s="2270" t="s">
        <v>2770</v>
      </c>
      <c r="P548" s="2270">
        <v>0</v>
      </c>
      <c r="Q548" s="2271" t="s">
        <v>676</v>
      </c>
      <c r="R548" s="2271" t="s">
        <v>676</v>
      </c>
      <c r="S548" s="2271" t="s">
        <v>676</v>
      </c>
      <c r="T548" s="2271" t="s">
        <v>676</v>
      </c>
    </row>
    <row r="549" spans="1:20" ht="135">
      <c r="A549" s="2265"/>
      <c r="B549" s="2268">
        <v>2</v>
      </c>
      <c r="C549" s="2882" t="s">
        <v>2916</v>
      </c>
      <c r="D549" s="2883"/>
      <c r="E549" s="2883"/>
      <c r="F549" s="2884"/>
      <c r="G549" s="2882" t="s">
        <v>2917</v>
      </c>
      <c r="H549" s="2884"/>
      <c r="I549" s="2882" t="s">
        <v>2762</v>
      </c>
      <c r="J549" s="2884"/>
      <c r="K549" s="2268" t="s">
        <v>2763</v>
      </c>
      <c r="L549" s="2268" t="s">
        <v>2775</v>
      </c>
      <c r="M549" s="2268" t="s">
        <v>2765</v>
      </c>
      <c r="N549" s="2269">
        <v>100000</v>
      </c>
      <c r="O549" s="2270" t="s">
        <v>2766</v>
      </c>
      <c r="P549" s="2270">
        <v>100000</v>
      </c>
      <c r="Q549" s="2268"/>
      <c r="R549" s="2268" t="s">
        <v>2767</v>
      </c>
      <c r="S549" s="2268" t="s">
        <v>2768</v>
      </c>
      <c r="T549" s="2268"/>
    </row>
    <row r="550" spans="1:20" ht="15">
      <c r="A550" s="2265"/>
      <c r="B550" s="2271" t="s">
        <v>676</v>
      </c>
      <c r="C550" s="2888" t="s">
        <v>676</v>
      </c>
      <c r="D550" s="2889"/>
      <c r="E550" s="2889"/>
      <c r="F550" s="2890"/>
      <c r="G550" s="2888" t="s">
        <v>676</v>
      </c>
      <c r="H550" s="2890"/>
      <c r="I550" s="2888" t="s">
        <v>676</v>
      </c>
      <c r="J550" s="2890"/>
      <c r="K550" s="2271" t="s">
        <v>676</v>
      </c>
      <c r="L550" s="2271" t="s">
        <v>676</v>
      </c>
      <c r="M550" s="2271" t="s">
        <v>676</v>
      </c>
      <c r="N550" s="2272" t="s">
        <v>676</v>
      </c>
      <c r="O550" s="2270" t="s">
        <v>2769</v>
      </c>
      <c r="P550" s="2270">
        <v>0</v>
      </c>
      <c r="Q550" s="2271" t="s">
        <v>676</v>
      </c>
      <c r="R550" s="2271" t="s">
        <v>676</v>
      </c>
      <c r="S550" s="2271" t="s">
        <v>676</v>
      </c>
      <c r="T550" s="2271" t="s">
        <v>676</v>
      </c>
    </row>
    <row r="551" spans="1:20" ht="15">
      <c r="A551" s="2265"/>
      <c r="B551" s="2273" t="s">
        <v>676</v>
      </c>
      <c r="C551" s="2896" t="s">
        <v>676</v>
      </c>
      <c r="D551" s="2942"/>
      <c r="E551" s="2942"/>
      <c r="F551" s="2943"/>
      <c r="G551" s="2899" t="s">
        <v>676</v>
      </c>
      <c r="H551" s="2942"/>
      <c r="I551" s="2900" t="s">
        <v>676</v>
      </c>
      <c r="J551" s="2943"/>
      <c r="K551" s="2273" t="s">
        <v>676</v>
      </c>
      <c r="L551" s="2273" t="s">
        <v>676</v>
      </c>
      <c r="M551" s="2273" t="s">
        <v>676</v>
      </c>
      <c r="N551" s="2274" t="s">
        <v>676</v>
      </c>
      <c r="O551" s="2270" t="s">
        <v>2770</v>
      </c>
      <c r="P551" s="2270">
        <v>0</v>
      </c>
      <c r="Q551" s="2273" t="s">
        <v>676</v>
      </c>
      <c r="R551" s="2273" t="s">
        <v>676</v>
      </c>
      <c r="S551" s="2273" t="s">
        <v>676</v>
      </c>
      <c r="T551" s="2273" t="s">
        <v>676</v>
      </c>
    </row>
    <row r="552" spans="1:20" ht="15">
      <c r="A552" s="2285"/>
      <c r="B552" s="2305"/>
      <c r="C552" s="2290" t="s">
        <v>82</v>
      </c>
      <c r="D552" s="2290"/>
      <c r="E552" s="2290"/>
      <c r="F552" s="2290"/>
      <c r="G552" s="2290"/>
      <c r="H552" s="2290"/>
      <c r="I552" s="2290"/>
      <c r="J552" s="2290"/>
      <c r="K552" s="2290"/>
      <c r="L552" s="2290"/>
      <c r="M552" s="2289"/>
      <c r="N552" s="2290">
        <f>SUM(N546:N551)</f>
        <v>600000</v>
      </c>
      <c r="O552" s="2290"/>
      <c r="P552" s="2290">
        <f>SUM(P546:P551)</f>
        <v>600000</v>
      </c>
      <c r="Q552" s="2290"/>
      <c r="R552" s="2290"/>
      <c r="S552" s="2290"/>
      <c r="T552" s="2291"/>
    </row>
    <row r="554" spans="1:20" ht="126">
      <c r="B554" s="2266" t="s">
        <v>657</v>
      </c>
      <c r="C554" s="2893" t="s">
        <v>587</v>
      </c>
      <c r="D554" s="2983"/>
      <c r="E554" s="2983"/>
      <c r="F554" s="2984"/>
      <c r="G554" s="2893" t="s">
        <v>2751</v>
      </c>
      <c r="H554" s="2984"/>
      <c r="I554" s="2893" t="s">
        <v>2752</v>
      </c>
      <c r="J554" s="2984"/>
      <c r="K554" s="2266" t="s">
        <v>2753</v>
      </c>
      <c r="L554" s="2266" t="s">
        <v>2754</v>
      </c>
      <c r="M554" s="2266" t="s">
        <v>2755</v>
      </c>
      <c r="N554" s="2267" t="s">
        <v>2756</v>
      </c>
      <c r="O554" s="2267" t="s">
        <v>2757</v>
      </c>
      <c r="P554" s="2267" t="s">
        <v>2758</v>
      </c>
      <c r="Q554" s="2266" t="s">
        <v>623</v>
      </c>
      <c r="R554" s="2266" t="s">
        <v>2759</v>
      </c>
      <c r="S554" s="2266" t="s">
        <v>2760</v>
      </c>
      <c r="T554" s="2266" t="s">
        <v>2761</v>
      </c>
    </row>
    <row r="555" spans="1:20" ht="135">
      <c r="B555" s="2268">
        <v>1</v>
      </c>
      <c r="C555" s="2882" t="s">
        <v>2918</v>
      </c>
      <c r="D555" s="2981"/>
      <c r="E555" s="2981"/>
      <c r="F555" s="2982"/>
      <c r="G555" s="2882" t="s">
        <v>2883</v>
      </c>
      <c r="H555" s="2982"/>
      <c r="I555" s="2882" t="s">
        <v>2762</v>
      </c>
      <c r="J555" s="2982"/>
      <c r="K555" s="2268" t="s">
        <v>2763</v>
      </c>
      <c r="L555" s="2268" t="s">
        <v>2764</v>
      </c>
      <c r="M555" s="2268" t="s">
        <v>2765</v>
      </c>
      <c r="N555" s="2269">
        <v>83333</v>
      </c>
      <c r="O555" s="2270" t="s">
        <v>2766</v>
      </c>
      <c r="P555" s="2270">
        <v>83333</v>
      </c>
      <c r="Q555" s="2268"/>
      <c r="R555" s="2268" t="s">
        <v>2919</v>
      </c>
      <c r="S555" s="2268" t="s">
        <v>2768</v>
      </c>
      <c r="T555" s="2268"/>
    </row>
    <row r="556" spans="1:20" ht="15.75">
      <c r="B556" s="2271" t="s">
        <v>676</v>
      </c>
      <c r="C556" s="2888" t="s">
        <v>676</v>
      </c>
      <c r="D556" s="2977"/>
      <c r="E556" s="2977"/>
      <c r="F556" s="2978"/>
      <c r="G556" s="2888" t="s">
        <v>676</v>
      </c>
      <c r="H556" s="2978"/>
      <c r="I556" s="2888" t="s">
        <v>676</v>
      </c>
      <c r="J556" s="2978"/>
      <c r="K556" s="2271" t="s">
        <v>676</v>
      </c>
      <c r="L556" s="2271" t="s">
        <v>676</v>
      </c>
      <c r="M556" s="2271" t="s">
        <v>676</v>
      </c>
      <c r="N556" s="2272" t="s">
        <v>676</v>
      </c>
      <c r="O556" s="2270" t="s">
        <v>2769</v>
      </c>
      <c r="P556" s="2270">
        <v>0</v>
      </c>
      <c r="Q556" s="2271" t="s">
        <v>676</v>
      </c>
      <c r="R556" s="2271" t="s">
        <v>676</v>
      </c>
      <c r="S556" s="2271" t="s">
        <v>676</v>
      </c>
      <c r="T556" s="2271" t="s">
        <v>676</v>
      </c>
    </row>
    <row r="557" spans="1:20" ht="15.75">
      <c r="B557" s="2271" t="s">
        <v>676</v>
      </c>
      <c r="C557" s="2891" t="s">
        <v>676</v>
      </c>
      <c r="D557" s="2977"/>
      <c r="E557" s="2977"/>
      <c r="F557" s="2978"/>
      <c r="G557" s="2892" t="s">
        <v>676</v>
      </c>
      <c r="H557" s="2977"/>
      <c r="I557" s="2888" t="s">
        <v>676</v>
      </c>
      <c r="J557" s="2978"/>
      <c r="K557" s="2271" t="s">
        <v>676</v>
      </c>
      <c r="L557" s="2271" t="s">
        <v>676</v>
      </c>
      <c r="M557" s="2271" t="s">
        <v>676</v>
      </c>
      <c r="N557" s="2272" t="s">
        <v>676</v>
      </c>
      <c r="O557" s="2270" t="s">
        <v>2770</v>
      </c>
      <c r="P557" s="2270">
        <v>0</v>
      </c>
      <c r="Q557" s="2271" t="s">
        <v>676</v>
      </c>
      <c r="R557" s="2271" t="s">
        <v>676</v>
      </c>
      <c r="S557" s="2271" t="s">
        <v>676</v>
      </c>
      <c r="T557" s="2271" t="s">
        <v>676</v>
      </c>
    </row>
    <row r="558" spans="1:20" ht="135">
      <c r="B558" s="2268">
        <v>2</v>
      </c>
      <c r="C558" s="2882" t="s">
        <v>2920</v>
      </c>
      <c r="D558" s="2981"/>
      <c r="E558" s="2981"/>
      <c r="F558" s="2982"/>
      <c r="G558" s="2882" t="s">
        <v>2921</v>
      </c>
      <c r="H558" s="2982"/>
      <c r="I558" s="2882" t="s">
        <v>2762</v>
      </c>
      <c r="J558" s="2982"/>
      <c r="K558" s="2268" t="s">
        <v>2763</v>
      </c>
      <c r="L558" s="2268" t="s">
        <v>2764</v>
      </c>
      <c r="M558" s="2268" t="s">
        <v>2765</v>
      </c>
      <c r="N558" s="2269">
        <v>25000</v>
      </c>
      <c r="O558" s="2270" t="s">
        <v>2766</v>
      </c>
      <c r="P558" s="2270">
        <v>25000</v>
      </c>
      <c r="Q558" s="2268"/>
      <c r="R558" s="2268" t="s">
        <v>2919</v>
      </c>
      <c r="S558" s="2268" t="s">
        <v>2768</v>
      </c>
      <c r="T558" s="2268"/>
    </row>
    <row r="559" spans="1:20" ht="15.75">
      <c r="B559" s="2271" t="s">
        <v>676</v>
      </c>
      <c r="C559" s="2888" t="s">
        <v>676</v>
      </c>
      <c r="D559" s="2977"/>
      <c r="E559" s="2977"/>
      <c r="F559" s="2978"/>
      <c r="G559" s="2888" t="s">
        <v>676</v>
      </c>
      <c r="H559" s="2978"/>
      <c r="I559" s="2888" t="s">
        <v>676</v>
      </c>
      <c r="J559" s="2978"/>
      <c r="K559" s="2271" t="s">
        <v>676</v>
      </c>
      <c r="L559" s="2271" t="s">
        <v>676</v>
      </c>
      <c r="M559" s="2271" t="s">
        <v>676</v>
      </c>
      <c r="N559" s="2272" t="s">
        <v>676</v>
      </c>
      <c r="O559" s="2270" t="s">
        <v>2769</v>
      </c>
      <c r="P559" s="2270">
        <v>0</v>
      </c>
      <c r="Q559" s="2271" t="s">
        <v>676</v>
      </c>
      <c r="R559" s="2271" t="s">
        <v>676</v>
      </c>
      <c r="S559" s="2271" t="s">
        <v>676</v>
      </c>
      <c r="T559" s="2271" t="s">
        <v>676</v>
      </c>
    </row>
    <row r="560" spans="1:20" ht="15.75">
      <c r="B560" s="2271" t="s">
        <v>676</v>
      </c>
      <c r="C560" s="2891" t="s">
        <v>676</v>
      </c>
      <c r="D560" s="2977"/>
      <c r="E560" s="2977"/>
      <c r="F560" s="2978"/>
      <c r="G560" s="2892" t="s">
        <v>676</v>
      </c>
      <c r="H560" s="2977"/>
      <c r="I560" s="2888" t="s">
        <v>676</v>
      </c>
      <c r="J560" s="2978"/>
      <c r="K560" s="2271" t="s">
        <v>676</v>
      </c>
      <c r="L560" s="2271" t="s">
        <v>676</v>
      </c>
      <c r="M560" s="2271" t="s">
        <v>676</v>
      </c>
      <c r="N560" s="2272" t="s">
        <v>676</v>
      </c>
      <c r="O560" s="2270" t="s">
        <v>2770</v>
      </c>
      <c r="P560" s="2270">
        <v>0</v>
      </c>
      <c r="Q560" s="2271" t="s">
        <v>676</v>
      </c>
      <c r="R560" s="2271" t="s">
        <v>676</v>
      </c>
      <c r="S560" s="2271" t="s">
        <v>676</v>
      </c>
      <c r="T560" s="2271" t="s">
        <v>676</v>
      </c>
    </row>
    <row r="561" spans="2:20" ht="135">
      <c r="B561" s="2268">
        <v>3</v>
      </c>
      <c r="C561" s="2882" t="s">
        <v>2922</v>
      </c>
      <c r="D561" s="2981"/>
      <c r="E561" s="2981"/>
      <c r="F561" s="2982"/>
      <c r="G561" s="2882" t="s">
        <v>2923</v>
      </c>
      <c r="H561" s="2982"/>
      <c r="I561" s="2882" t="s">
        <v>2762</v>
      </c>
      <c r="J561" s="2982"/>
      <c r="K561" s="2268" t="s">
        <v>2763</v>
      </c>
      <c r="L561" s="2268" t="s">
        <v>2764</v>
      </c>
      <c r="M561" s="2268" t="s">
        <v>2765</v>
      </c>
      <c r="N561" s="2269">
        <v>33333</v>
      </c>
      <c r="O561" s="2270" t="s">
        <v>2766</v>
      </c>
      <c r="P561" s="2270">
        <v>33333</v>
      </c>
      <c r="Q561" s="2268"/>
      <c r="R561" s="2268" t="s">
        <v>2919</v>
      </c>
      <c r="S561" s="2268" t="s">
        <v>2768</v>
      </c>
      <c r="T561" s="2268"/>
    </row>
    <row r="562" spans="2:20" ht="15.75">
      <c r="B562" s="2271" t="s">
        <v>676</v>
      </c>
      <c r="C562" s="2888" t="s">
        <v>676</v>
      </c>
      <c r="D562" s="2977"/>
      <c r="E562" s="2977"/>
      <c r="F562" s="2978"/>
      <c r="G562" s="2888" t="s">
        <v>676</v>
      </c>
      <c r="H562" s="2978"/>
      <c r="I562" s="2888" t="s">
        <v>676</v>
      </c>
      <c r="J562" s="2978"/>
      <c r="K562" s="2271" t="s">
        <v>676</v>
      </c>
      <c r="L562" s="2271" t="s">
        <v>676</v>
      </c>
      <c r="M562" s="2271" t="s">
        <v>676</v>
      </c>
      <c r="N562" s="2272" t="s">
        <v>676</v>
      </c>
      <c r="O562" s="2270" t="s">
        <v>2769</v>
      </c>
      <c r="P562" s="2270">
        <v>0</v>
      </c>
      <c r="Q562" s="2271" t="s">
        <v>676</v>
      </c>
      <c r="R562" s="2271" t="s">
        <v>676</v>
      </c>
      <c r="S562" s="2271" t="s">
        <v>676</v>
      </c>
      <c r="T562" s="2271" t="s">
        <v>676</v>
      </c>
    </row>
    <row r="563" spans="2:20" ht="15.75">
      <c r="B563" s="2271" t="s">
        <v>676</v>
      </c>
      <c r="C563" s="2891" t="s">
        <v>676</v>
      </c>
      <c r="D563" s="2977"/>
      <c r="E563" s="2977"/>
      <c r="F563" s="2978"/>
      <c r="G563" s="2892" t="s">
        <v>676</v>
      </c>
      <c r="H563" s="2977"/>
      <c r="I563" s="2888" t="s">
        <v>676</v>
      </c>
      <c r="J563" s="2978"/>
      <c r="K563" s="2271" t="s">
        <v>676</v>
      </c>
      <c r="L563" s="2271" t="s">
        <v>676</v>
      </c>
      <c r="M563" s="2271" t="s">
        <v>676</v>
      </c>
      <c r="N563" s="2272" t="s">
        <v>676</v>
      </c>
      <c r="O563" s="2270" t="s">
        <v>2770</v>
      </c>
      <c r="P563" s="2270">
        <v>0</v>
      </c>
      <c r="Q563" s="2271" t="s">
        <v>676</v>
      </c>
      <c r="R563" s="2271" t="s">
        <v>676</v>
      </c>
      <c r="S563" s="2271" t="s">
        <v>676</v>
      </c>
      <c r="T563" s="2271" t="s">
        <v>676</v>
      </c>
    </row>
    <row r="564" spans="2:20" ht="135">
      <c r="B564" s="2268">
        <v>4</v>
      </c>
      <c r="C564" s="2882" t="s">
        <v>2924</v>
      </c>
      <c r="D564" s="2981"/>
      <c r="E564" s="2981"/>
      <c r="F564" s="2982"/>
      <c r="G564" s="2882" t="s">
        <v>2925</v>
      </c>
      <c r="H564" s="2982"/>
      <c r="I564" s="2882" t="s">
        <v>2762</v>
      </c>
      <c r="J564" s="2982"/>
      <c r="K564" s="2268" t="s">
        <v>2763</v>
      </c>
      <c r="L564" s="2268" t="s">
        <v>2764</v>
      </c>
      <c r="M564" s="2268" t="s">
        <v>2765</v>
      </c>
      <c r="N564" s="2269">
        <v>32500</v>
      </c>
      <c r="O564" s="2270" t="s">
        <v>2766</v>
      </c>
      <c r="P564" s="2270">
        <v>32500</v>
      </c>
      <c r="Q564" s="2268"/>
      <c r="R564" s="2268" t="s">
        <v>2767</v>
      </c>
      <c r="S564" s="2268" t="s">
        <v>2768</v>
      </c>
      <c r="T564" s="2268"/>
    </row>
    <row r="565" spans="2:20" ht="15.75">
      <c r="B565" s="2271" t="s">
        <v>676</v>
      </c>
      <c r="C565" s="2888" t="s">
        <v>676</v>
      </c>
      <c r="D565" s="2977"/>
      <c r="E565" s="2977"/>
      <c r="F565" s="2978"/>
      <c r="G565" s="2888" t="s">
        <v>676</v>
      </c>
      <c r="H565" s="2978"/>
      <c r="I565" s="2888" t="s">
        <v>676</v>
      </c>
      <c r="J565" s="2978"/>
      <c r="K565" s="2271" t="s">
        <v>676</v>
      </c>
      <c r="L565" s="2271" t="s">
        <v>676</v>
      </c>
      <c r="M565" s="2271" t="s">
        <v>676</v>
      </c>
      <c r="N565" s="2272" t="s">
        <v>676</v>
      </c>
      <c r="O565" s="2270" t="s">
        <v>2769</v>
      </c>
      <c r="P565" s="2270">
        <v>0</v>
      </c>
      <c r="Q565" s="2271" t="s">
        <v>676</v>
      </c>
      <c r="R565" s="2271" t="s">
        <v>676</v>
      </c>
      <c r="S565" s="2271" t="s">
        <v>676</v>
      </c>
      <c r="T565" s="2271" t="s">
        <v>676</v>
      </c>
    </row>
    <row r="566" spans="2:20" ht="15.75">
      <c r="B566" s="2271" t="s">
        <v>676</v>
      </c>
      <c r="C566" s="2891" t="s">
        <v>676</v>
      </c>
      <c r="D566" s="2977"/>
      <c r="E566" s="2977"/>
      <c r="F566" s="2978"/>
      <c r="G566" s="2892" t="s">
        <v>676</v>
      </c>
      <c r="H566" s="2977"/>
      <c r="I566" s="2888" t="s">
        <v>676</v>
      </c>
      <c r="J566" s="2978"/>
      <c r="K566" s="2271" t="s">
        <v>676</v>
      </c>
      <c r="L566" s="2271" t="s">
        <v>676</v>
      </c>
      <c r="M566" s="2271" t="s">
        <v>676</v>
      </c>
      <c r="N566" s="2272" t="s">
        <v>676</v>
      </c>
      <c r="O566" s="2270" t="s">
        <v>2770</v>
      </c>
      <c r="P566" s="2270">
        <v>0</v>
      </c>
      <c r="Q566" s="2271" t="s">
        <v>676</v>
      </c>
      <c r="R566" s="2271" t="s">
        <v>676</v>
      </c>
      <c r="S566" s="2271" t="s">
        <v>676</v>
      </c>
      <c r="T566" s="2271" t="s">
        <v>676</v>
      </c>
    </row>
    <row r="567" spans="2:20" ht="135">
      <c r="B567" s="2268">
        <v>5</v>
      </c>
      <c r="C567" s="2882" t="s">
        <v>2926</v>
      </c>
      <c r="D567" s="2981"/>
      <c r="E567" s="2981"/>
      <c r="F567" s="2982"/>
      <c r="G567" s="2882" t="s">
        <v>2927</v>
      </c>
      <c r="H567" s="2982"/>
      <c r="I567" s="2882" t="s">
        <v>2762</v>
      </c>
      <c r="J567" s="2982"/>
      <c r="K567" s="2268" t="s">
        <v>2763</v>
      </c>
      <c r="L567" s="2268" t="s">
        <v>2764</v>
      </c>
      <c r="M567" s="2268" t="s">
        <v>2765</v>
      </c>
      <c r="N567" s="2269">
        <v>33333</v>
      </c>
      <c r="O567" s="2270" t="s">
        <v>2766</v>
      </c>
      <c r="P567" s="2270">
        <v>33333</v>
      </c>
      <c r="Q567" s="2268"/>
      <c r="R567" s="2268" t="s">
        <v>2928</v>
      </c>
      <c r="S567" s="2268" t="s">
        <v>2768</v>
      </c>
      <c r="T567" s="2268"/>
    </row>
    <row r="568" spans="2:20" ht="15.75">
      <c r="B568" s="2271" t="s">
        <v>676</v>
      </c>
      <c r="C568" s="2888" t="s">
        <v>676</v>
      </c>
      <c r="D568" s="2977"/>
      <c r="E568" s="2977"/>
      <c r="F568" s="2978"/>
      <c r="G568" s="2888" t="s">
        <v>676</v>
      </c>
      <c r="H568" s="2978"/>
      <c r="I568" s="2888" t="s">
        <v>676</v>
      </c>
      <c r="J568" s="2978"/>
      <c r="K568" s="2271" t="s">
        <v>676</v>
      </c>
      <c r="L568" s="2271" t="s">
        <v>676</v>
      </c>
      <c r="M568" s="2271" t="s">
        <v>676</v>
      </c>
      <c r="N568" s="2272" t="s">
        <v>676</v>
      </c>
      <c r="O568" s="2270" t="s">
        <v>2769</v>
      </c>
      <c r="P568" s="2270">
        <v>0</v>
      </c>
      <c r="Q568" s="2271" t="s">
        <v>676</v>
      </c>
      <c r="R568" s="2271" t="s">
        <v>676</v>
      </c>
      <c r="S568" s="2271" t="s">
        <v>676</v>
      </c>
      <c r="T568" s="2271" t="s">
        <v>676</v>
      </c>
    </row>
    <row r="569" spans="2:20" ht="15.75">
      <c r="B569" s="2271" t="s">
        <v>676</v>
      </c>
      <c r="C569" s="2891" t="s">
        <v>676</v>
      </c>
      <c r="D569" s="2977"/>
      <c r="E569" s="2977"/>
      <c r="F569" s="2978"/>
      <c r="G569" s="2892" t="s">
        <v>676</v>
      </c>
      <c r="H569" s="2977"/>
      <c r="I569" s="2888" t="s">
        <v>676</v>
      </c>
      <c r="J569" s="2978"/>
      <c r="K569" s="2271" t="s">
        <v>676</v>
      </c>
      <c r="L569" s="2271" t="s">
        <v>676</v>
      </c>
      <c r="M569" s="2271" t="s">
        <v>676</v>
      </c>
      <c r="N569" s="2272" t="s">
        <v>676</v>
      </c>
      <c r="O569" s="2270" t="s">
        <v>2770</v>
      </c>
      <c r="P569" s="2270">
        <v>0</v>
      </c>
      <c r="Q569" s="2271" t="s">
        <v>676</v>
      </c>
      <c r="R569" s="2271" t="s">
        <v>676</v>
      </c>
      <c r="S569" s="2271" t="s">
        <v>676</v>
      </c>
      <c r="T569" s="2271" t="s">
        <v>676</v>
      </c>
    </row>
    <row r="570" spans="2:20" ht="90">
      <c r="B570" s="2268">
        <v>6</v>
      </c>
      <c r="C570" s="2882" t="s">
        <v>827</v>
      </c>
      <c r="D570" s="2981"/>
      <c r="E570" s="2981"/>
      <c r="F570" s="2982"/>
      <c r="G570" s="2882" t="s">
        <v>2929</v>
      </c>
      <c r="H570" s="2982"/>
      <c r="I570" s="2882" t="s">
        <v>2762</v>
      </c>
      <c r="J570" s="2982"/>
      <c r="K570" s="2268" t="s">
        <v>2763</v>
      </c>
      <c r="L570" s="2268" t="s">
        <v>2775</v>
      </c>
      <c r="M570" s="2268" t="s">
        <v>2776</v>
      </c>
      <c r="N570" s="2269">
        <v>625000</v>
      </c>
      <c r="O570" s="2270" t="s">
        <v>2766</v>
      </c>
      <c r="P570" s="2270">
        <v>625000</v>
      </c>
      <c r="Q570" s="2268" t="s">
        <v>688</v>
      </c>
      <c r="R570" s="2268" t="s">
        <v>2767</v>
      </c>
      <c r="S570" s="2268" t="s">
        <v>2768</v>
      </c>
      <c r="T570" s="2268"/>
    </row>
    <row r="571" spans="2:20" ht="15.75">
      <c r="B571" s="2271" t="s">
        <v>676</v>
      </c>
      <c r="C571" s="2888" t="s">
        <v>676</v>
      </c>
      <c r="D571" s="2977"/>
      <c r="E571" s="2977"/>
      <c r="F571" s="2978"/>
      <c r="G571" s="2888" t="s">
        <v>676</v>
      </c>
      <c r="H571" s="2978"/>
      <c r="I571" s="2888" t="s">
        <v>676</v>
      </c>
      <c r="J571" s="2978"/>
      <c r="K571" s="2271" t="s">
        <v>676</v>
      </c>
      <c r="L571" s="2271" t="s">
        <v>676</v>
      </c>
      <c r="M571" s="2271" t="s">
        <v>676</v>
      </c>
      <c r="N571" s="2272" t="s">
        <v>676</v>
      </c>
      <c r="O571" s="2270" t="s">
        <v>2769</v>
      </c>
      <c r="P571" s="2270">
        <v>0</v>
      </c>
      <c r="Q571" s="2271" t="s">
        <v>676</v>
      </c>
      <c r="R571" s="2271" t="s">
        <v>676</v>
      </c>
      <c r="S571" s="2271" t="s">
        <v>676</v>
      </c>
      <c r="T571" s="2271" t="s">
        <v>676</v>
      </c>
    </row>
    <row r="572" spans="2:20" ht="15.75">
      <c r="B572" s="2271" t="s">
        <v>676</v>
      </c>
      <c r="C572" s="2891" t="s">
        <v>676</v>
      </c>
      <c r="D572" s="2977"/>
      <c r="E572" s="2977"/>
      <c r="F572" s="2978"/>
      <c r="G572" s="2892" t="s">
        <v>676</v>
      </c>
      <c r="H572" s="2977"/>
      <c r="I572" s="2888" t="s">
        <v>676</v>
      </c>
      <c r="J572" s="2978"/>
      <c r="K572" s="2271" t="s">
        <v>676</v>
      </c>
      <c r="L572" s="2271" t="s">
        <v>676</v>
      </c>
      <c r="M572" s="2271" t="s">
        <v>676</v>
      </c>
      <c r="N572" s="2272" t="s">
        <v>676</v>
      </c>
      <c r="O572" s="2270" t="s">
        <v>2770</v>
      </c>
      <c r="P572" s="2270">
        <v>0</v>
      </c>
      <c r="Q572" s="2271" t="s">
        <v>676</v>
      </c>
      <c r="R572" s="2271" t="s">
        <v>676</v>
      </c>
      <c r="S572" s="2271" t="s">
        <v>676</v>
      </c>
      <c r="T572" s="2271" t="s">
        <v>676</v>
      </c>
    </row>
    <row r="573" spans="2:20" ht="135">
      <c r="B573" s="2268">
        <v>7</v>
      </c>
      <c r="C573" s="2882" t="s">
        <v>833</v>
      </c>
      <c r="D573" s="2981"/>
      <c r="E573" s="2981"/>
      <c r="F573" s="2982"/>
      <c r="G573" s="2882" t="s">
        <v>1556</v>
      </c>
      <c r="H573" s="2982"/>
      <c r="I573" s="2882" t="s">
        <v>2762</v>
      </c>
      <c r="J573" s="2982"/>
      <c r="K573" s="2268" t="s">
        <v>2763</v>
      </c>
      <c r="L573" s="2268" t="s">
        <v>2775</v>
      </c>
      <c r="M573" s="2268" t="s">
        <v>2765</v>
      </c>
      <c r="N573" s="2269">
        <v>75000</v>
      </c>
      <c r="O573" s="2270" t="s">
        <v>2766</v>
      </c>
      <c r="P573" s="2270">
        <v>75000</v>
      </c>
      <c r="Q573" s="2268"/>
      <c r="R573" s="2268" t="s">
        <v>2919</v>
      </c>
      <c r="S573" s="2268" t="s">
        <v>2768</v>
      </c>
      <c r="T573" s="2268"/>
    </row>
    <row r="574" spans="2:20" ht="15.75">
      <c r="B574" s="2271" t="s">
        <v>676</v>
      </c>
      <c r="C574" s="2888" t="s">
        <v>676</v>
      </c>
      <c r="D574" s="2977"/>
      <c r="E574" s="2977"/>
      <c r="F574" s="2978"/>
      <c r="G574" s="2888" t="s">
        <v>676</v>
      </c>
      <c r="H574" s="2978"/>
      <c r="I574" s="2888" t="s">
        <v>676</v>
      </c>
      <c r="J574" s="2978"/>
      <c r="K574" s="2271" t="s">
        <v>676</v>
      </c>
      <c r="L574" s="2271" t="s">
        <v>676</v>
      </c>
      <c r="M574" s="2271" t="s">
        <v>676</v>
      </c>
      <c r="N574" s="2272" t="s">
        <v>676</v>
      </c>
      <c r="O574" s="2270" t="s">
        <v>2769</v>
      </c>
      <c r="P574" s="2270">
        <v>0</v>
      </c>
      <c r="Q574" s="2271" t="s">
        <v>676</v>
      </c>
      <c r="R574" s="2271" t="s">
        <v>676</v>
      </c>
      <c r="S574" s="2271" t="s">
        <v>676</v>
      </c>
      <c r="T574" s="2271" t="s">
        <v>676</v>
      </c>
    </row>
    <row r="575" spans="2:20" ht="15.75">
      <c r="B575" s="2271" t="s">
        <v>676</v>
      </c>
      <c r="C575" s="2891" t="s">
        <v>676</v>
      </c>
      <c r="D575" s="2977"/>
      <c r="E575" s="2977"/>
      <c r="F575" s="2978"/>
      <c r="G575" s="2892" t="s">
        <v>676</v>
      </c>
      <c r="H575" s="2977"/>
      <c r="I575" s="2888" t="s">
        <v>676</v>
      </c>
      <c r="J575" s="2978"/>
      <c r="K575" s="2271" t="s">
        <v>676</v>
      </c>
      <c r="L575" s="2271" t="s">
        <v>676</v>
      </c>
      <c r="M575" s="2271" t="s">
        <v>676</v>
      </c>
      <c r="N575" s="2272" t="s">
        <v>676</v>
      </c>
      <c r="O575" s="2270" t="s">
        <v>2770</v>
      </c>
      <c r="P575" s="2270">
        <v>0</v>
      </c>
      <c r="Q575" s="2271" t="s">
        <v>676</v>
      </c>
      <c r="R575" s="2271" t="s">
        <v>676</v>
      </c>
      <c r="S575" s="2271" t="s">
        <v>676</v>
      </c>
      <c r="T575" s="2271" t="s">
        <v>676</v>
      </c>
    </row>
    <row r="576" spans="2:20" ht="135">
      <c r="B576" s="2268">
        <v>8</v>
      </c>
      <c r="C576" s="2882" t="s">
        <v>2930</v>
      </c>
      <c r="D576" s="2981"/>
      <c r="E576" s="2981"/>
      <c r="F576" s="2982"/>
      <c r="G576" s="2882" t="s">
        <v>2931</v>
      </c>
      <c r="H576" s="2982"/>
      <c r="I576" s="2882" t="s">
        <v>2762</v>
      </c>
      <c r="J576" s="2982"/>
      <c r="K576" s="2268" t="s">
        <v>2763</v>
      </c>
      <c r="L576" s="2268" t="s">
        <v>2764</v>
      </c>
      <c r="M576" s="2268" t="s">
        <v>2765</v>
      </c>
      <c r="N576" s="2269">
        <v>8333</v>
      </c>
      <c r="O576" s="2270" t="s">
        <v>2766</v>
      </c>
      <c r="P576" s="2270">
        <v>8333</v>
      </c>
      <c r="Q576" s="2268"/>
      <c r="R576" s="2268" t="s">
        <v>2932</v>
      </c>
      <c r="S576" s="2268" t="s">
        <v>2768</v>
      </c>
      <c r="T576" s="2268"/>
    </row>
    <row r="577" spans="2:21" ht="15.75">
      <c r="B577" s="2271" t="s">
        <v>676</v>
      </c>
      <c r="C577" s="2888" t="s">
        <v>676</v>
      </c>
      <c r="D577" s="2977"/>
      <c r="E577" s="2977"/>
      <c r="F577" s="2978"/>
      <c r="G577" s="2888" t="s">
        <v>676</v>
      </c>
      <c r="H577" s="2978"/>
      <c r="I577" s="2888" t="s">
        <v>676</v>
      </c>
      <c r="J577" s="2978"/>
      <c r="K577" s="2271" t="s">
        <v>676</v>
      </c>
      <c r="L577" s="2271" t="s">
        <v>676</v>
      </c>
      <c r="M577" s="2271" t="s">
        <v>676</v>
      </c>
      <c r="N577" s="2272" t="s">
        <v>676</v>
      </c>
      <c r="O577" s="2270" t="s">
        <v>2769</v>
      </c>
      <c r="P577" s="2270">
        <v>0</v>
      </c>
      <c r="Q577" s="2271" t="s">
        <v>676</v>
      </c>
      <c r="R577" s="2271" t="s">
        <v>676</v>
      </c>
      <c r="S577" s="2271" t="s">
        <v>676</v>
      </c>
      <c r="T577" s="2271" t="s">
        <v>676</v>
      </c>
    </row>
    <row r="578" spans="2:21" ht="15.75">
      <c r="B578" s="2271" t="s">
        <v>676</v>
      </c>
      <c r="C578" s="2891" t="s">
        <v>676</v>
      </c>
      <c r="D578" s="2977"/>
      <c r="E578" s="2977"/>
      <c r="F578" s="2978"/>
      <c r="G578" s="2892" t="s">
        <v>676</v>
      </c>
      <c r="H578" s="2977"/>
      <c r="I578" s="2888" t="s">
        <v>676</v>
      </c>
      <c r="J578" s="2978"/>
      <c r="K578" s="2271" t="s">
        <v>676</v>
      </c>
      <c r="L578" s="2271" t="s">
        <v>676</v>
      </c>
      <c r="M578" s="2271" t="s">
        <v>676</v>
      </c>
      <c r="N578" s="2272" t="s">
        <v>676</v>
      </c>
      <c r="O578" s="2270" t="s">
        <v>2770</v>
      </c>
      <c r="P578" s="2270">
        <v>0</v>
      </c>
      <c r="Q578" s="2271" t="s">
        <v>676</v>
      </c>
      <c r="R578" s="2271" t="s">
        <v>676</v>
      </c>
      <c r="S578" s="2271" t="s">
        <v>676</v>
      </c>
      <c r="T578" s="2271" t="s">
        <v>676</v>
      </c>
    </row>
    <row r="579" spans="2:21" ht="135">
      <c r="B579" s="2268">
        <v>9</v>
      </c>
      <c r="C579" s="2882" t="s">
        <v>2933</v>
      </c>
      <c r="D579" s="2981"/>
      <c r="E579" s="2981"/>
      <c r="F579" s="2982"/>
      <c r="G579" s="2882" t="s">
        <v>2934</v>
      </c>
      <c r="H579" s="2982"/>
      <c r="I579" s="2882" t="s">
        <v>2762</v>
      </c>
      <c r="J579" s="2982"/>
      <c r="K579" s="2268" t="s">
        <v>2763</v>
      </c>
      <c r="L579" s="2268" t="s">
        <v>2764</v>
      </c>
      <c r="M579" s="2268" t="s">
        <v>2765</v>
      </c>
      <c r="N579" s="2269">
        <v>16667</v>
      </c>
      <c r="O579" s="2270" t="s">
        <v>2766</v>
      </c>
      <c r="P579" s="2270">
        <v>16667</v>
      </c>
      <c r="Q579" s="2268"/>
      <c r="R579" s="2268" t="s">
        <v>2919</v>
      </c>
      <c r="S579" s="2268" t="s">
        <v>2768</v>
      </c>
      <c r="T579" s="2268"/>
    </row>
    <row r="580" spans="2:21" ht="15.75">
      <c r="B580" s="2271" t="s">
        <v>676</v>
      </c>
      <c r="C580" s="2888" t="s">
        <v>676</v>
      </c>
      <c r="D580" s="2977"/>
      <c r="E580" s="2977"/>
      <c r="F580" s="2978"/>
      <c r="G580" s="2888" t="s">
        <v>676</v>
      </c>
      <c r="H580" s="2978"/>
      <c r="I580" s="2888" t="s">
        <v>676</v>
      </c>
      <c r="J580" s="2978"/>
      <c r="K580" s="2271" t="s">
        <v>676</v>
      </c>
      <c r="L580" s="2271" t="s">
        <v>676</v>
      </c>
      <c r="M580" s="2271" t="s">
        <v>676</v>
      </c>
      <c r="N580" s="2272" t="s">
        <v>676</v>
      </c>
      <c r="O580" s="2270" t="s">
        <v>2769</v>
      </c>
      <c r="P580" s="2270">
        <v>0</v>
      </c>
      <c r="Q580" s="2271" t="s">
        <v>676</v>
      </c>
      <c r="R580" s="2271" t="s">
        <v>676</v>
      </c>
      <c r="S580" s="2271" t="s">
        <v>676</v>
      </c>
      <c r="T580" s="2271" t="s">
        <v>676</v>
      </c>
    </row>
    <row r="581" spans="2:21" ht="15.75">
      <c r="B581" s="2271" t="s">
        <v>676</v>
      </c>
      <c r="C581" s="2891" t="s">
        <v>676</v>
      </c>
      <c r="D581" s="2977"/>
      <c r="E581" s="2977"/>
      <c r="F581" s="2978"/>
      <c r="G581" s="2892" t="s">
        <v>676</v>
      </c>
      <c r="H581" s="2977"/>
      <c r="I581" s="2888" t="s">
        <v>676</v>
      </c>
      <c r="J581" s="2978"/>
      <c r="K581" s="2271" t="s">
        <v>676</v>
      </c>
      <c r="L581" s="2271" t="s">
        <v>676</v>
      </c>
      <c r="M581" s="2271" t="s">
        <v>676</v>
      </c>
      <c r="N581" s="2272" t="s">
        <v>676</v>
      </c>
      <c r="O581" s="2270" t="s">
        <v>2770</v>
      </c>
      <c r="P581" s="2270">
        <v>0</v>
      </c>
      <c r="Q581" s="2271" t="s">
        <v>676</v>
      </c>
      <c r="R581" s="2271" t="s">
        <v>676</v>
      </c>
      <c r="S581" s="2271" t="s">
        <v>676</v>
      </c>
      <c r="T581" s="2271" t="s">
        <v>676</v>
      </c>
    </row>
    <row r="582" spans="2:21" ht="135">
      <c r="B582" s="2268">
        <v>10</v>
      </c>
      <c r="C582" s="2882" t="s">
        <v>172</v>
      </c>
      <c r="D582" s="2981"/>
      <c r="E582" s="2981"/>
      <c r="F582" s="2982"/>
      <c r="G582" s="2882" t="s">
        <v>2935</v>
      </c>
      <c r="H582" s="2982"/>
      <c r="I582" s="2882" t="s">
        <v>2762</v>
      </c>
      <c r="J582" s="2982"/>
      <c r="K582" s="2268" t="s">
        <v>2763</v>
      </c>
      <c r="L582" s="2268" t="s">
        <v>2775</v>
      </c>
      <c r="M582" s="2268" t="s">
        <v>2765</v>
      </c>
      <c r="N582" s="2269">
        <v>16667</v>
      </c>
      <c r="O582" s="2270" t="s">
        <v>2766</v>
      </c>
      <c r="P582" s="2270">
        <v>16667</v>
      </c>
      <c r="Q582" s="2268"/>
      <c r="R582" s="2268" t="s">
        <v>2919</v>
      </c>
      <c r="S582" s="2268" t="s">
        <v>2768</v>
      </c>
      <c r="T582" s="2268"/>
    </row>
    <row r="583" spans="2:21" ht="15.75">
      <c r="B583" s="2271" t="s">
        <v>676</v>
      </c>
      <c r="C583" s="2888" t="s">
        <v>676</v>
      </c>
      <c r="D583" s="2977"/>
      <c r="E583" s="2977"/>
      <c r="F583" s="2978"/>
      <c r="G583" s="2888" t="s">
        <v>676</v>
      </c>
      <c r="H583" s="2978"/>
      <c r="I583" s="2888" t="s">
        <v>676</v>
      </c>
      <c r="J583" s="2978"/>
      <c r="K583" s="2271" t="s">
        <v>676</v>
      </c>
      <c r="L583" s="2271" t="s">
        <v>676</v>
      </c>
      <c r="M583" s="2271" t="s">
        <v>676</v>
      </c>
      <c r="N583" s="2272" t="s">
        <v>676</v>
      </c>
      <c r="O583" s="2270" t="s">
        <v>2769</v>
      </c>
      <c r="P583" s="2270">
        <v>0</v>
      </c>
      <c r="Q583" s="2271" t="s">
        <v>676</v>
      </c>
      <c r="R583" s="2271" t="s">
        <v>676</v>
      </c>
      <c r="S583" s="2271" t="s">
        <v>676</v>
      </c>
      <c r="T583" s="2271" t="s">
        <v>676</v>
      </c>
    </row>
    <row r="584" spans="2:21" ht="15.75">
      <c r="B584" s="2271" t="s">
        <v>676</v>
      </c>
      <c r="C584" s="2891" t="s">
        <v>676</v>
      </c>
      <c r="D584" s="2977"/>
      <c r="E584" s="2977"/>
      <c r="F584" s="2978"/>
      <c r="G584" s="2892" t="s">
        <v>676</v>
      </c>
      <c r="H584" s="2977"/>
      <c r="I584" s="2888" t="s">
        <v>676</v>
      </c>
      <c r="J584" s="2978"/>
      <c r="K584" s="2271" t="s">
        <v>676</v>
      </c>
      <c r="L584" s="2271" t="s">
        <v>676</v>
      </c>
      <c r="M584" s="2271" t="s">
        <v>676</v>
      </c>
      <c r="N584" s="2272" t="s">
        <v>676</v>
      </c>
      <c r="O584" s="2270" t="s">
        <v>2770</v>
      </c>
      <c r="P584" s="2270">
        <v>0</v>
      </c>
      <c r="Q584" s="2271" t="s">
        <v>676</v>
      </c>
      <c r="R584" s="2271" t="s">
        <v>676</v>
      </c>
      <c r="S584" s="2271" t="s">
        <v>676</v>
      </c>
      <c r="T584" s="2271" t="s">
        <v>676</v>
      </c>
    </row>
    <row r="585" spans="2:21" ht="90">
      <c r="B585" s="2268">
        <v>11</v>
      </c>
      <c r="C585" s="2882" t="s">
        <v>2936</v>
      </c>
      <c r="D585" s="2981"/>
      <c r="E585" s="2981"/>
      <c r="F585" s="2982"/>
      <c r="G585" s="2882" t="s">
        <v>1183</v>
      </c>
      <c r="H585" s="2982"/>
      <c r="I585" s="2882" t="s">
        <v>2762</v>
      </c>
      <c r="J585" s="2982"/>
      <c r="K585" s="2268" t="s">
        <v>2763</v>
      </c>
      <c r="L585" s="2268" t="s">
        <v>2775</v>
      </c>
      <c r="M585" s="2268" t="s">
        <v>2776</v>
      </c>
      <c r="N585" s="2269">
        <v>1916667</v>
      </c>
      <c r="O585" s="2270" t="s">
        <v>2766</v>
      </c>
      <c r="P585" s="2270">
        <v>1916667</v>
      </c>
      <c r="Q585" s="2268" t="s">
        <v>892</v>
      </c>
      <c r="R585" s="2268" t="s">
        <v>2932</v>
      </c>
      <c r="S585" s="2268" t="s">
        <v>2768</v>
      </c>
      <c r="T585" s="2268"/>
    </row>
    <row r="586" spans="2:21" ht="15.75">
      <c r="B586" s="2271" t="s">
        <v>676</v>
      </c>
      <c r="C586" s="2888" t="s">
        <v>676</v>
      </c>
      <c r="D586" s="2977"/>
      <c r="E586" s="2977"/>
      <c r="F586" s="2978"/>
      <c r="G586" s="2888" t="s">
        <v>676</v>
      </c>
      <c r="H586" s="2978"/>
      <c r="I586" s="2888" t="s">
        <v>676</v>
      </c>
      <c r="J586" s="2978"/>
      <c r="K586" s="2271" t="s">
        <v>676</v>
      </c>
      <c r="L586" s="2271" t="s">
        <v>676</v>
      </c>
      <c r="M586" s="2271" t="s">
        <v>676</v>
      </c>
      <c r="N586" s="2272" t="s">
        <v>676</v>
      </c>
      <c r="O586" s="2270" t="s">
        <v>2769</v>
      </c>
      <c r="P586" s="2270">
        <v>0</v>
      </c>
      <c r="Q586" s="2271" t="s">
        <v>676</v>
      </c>
      <c r="R586" s="2271" t="s">
        <v>676</v>
      </c>
      <c r="S586" s="2271" t="s">
        <v>676</v>
      </c>
      <c r="T586" s="2271" t="s">
        <v>676</v>
      </c>
    </row>
    <row r="587" spans="2:21" ht="15.75">
      <c r="B587" s="2273" t="s">
        <v>676</v>
      </c>
      <c r="C587" s="2896" t="s">
        <v>676</v>
      </c>
      <c r="D587" s="2979"/>
      <c r="E587" s="2979"/>
      <c r="F587" s="2980"/>
      <c r="G587" s="2899" t="s">
        <v>676</v>
      </c>
      <c r="H587" s="2979"/>
      <c r="I587" s="2900" t="s">
        <v>676</v>
      </c>
      <c r="J587" s="2980"/>
      <c r="K587" s="2273" t="s">
        <v>676</v>
      </c>
      <c r="L587" s="2273" t="s">
        <v>676</v>
      </c>
      <c r="M587" s="2273" t="s">
        <v>676</v>
      </c>
      <c r="N587" s="2274" t="s">
        <v>676</v>
      </c>
      <c r="O587" s="2270" t="s">
        <v>2770</v>
      </c>
      <c r="P587" s="2270">
        <v>0</v>
      </c>
      <c r="Q587" s="2273" t="s">
        <v>676</v>
      </c>
      <c r="R587" s="2273" t="s">
        <v>676</v>
      </c>
      <c r="S587" s="2273" t="s">
        <v>676</v>
      </c>
      <c r="T587" s="2273" t="s">
        <v>676</v>
      </c>
    </row>
    <row r="588" spans="2:21" ht="30">
      <c r="B588" s="2308"/>
      <c r="C588" s="2309" t="s">
        <v>82</v>
      </c>
      <c r="D588" s="2309"/>
      <c r="E588" s="2309"/>
      <c r="F588" s="2309"/>
      <c r="G588" s="2309"/>
      <c r="H588" s="2309"/>
      <c r="I588" s="2310"/>
      <c r="J588" s="2309"/>
      <c r="K588" s="2310"/>
      <c r="L588" s="2309"/>
      <c r="M588" s="2309"/>
      <c r="N588" s="2311">
        <f>SUM(N555:N587)</f>
        <v>2865833</v>
      </c>
      <c r="O588" s="2311"/>
      <c r="P588" s="2311">
        <f>SUM(P555:P587)</f>
        <v>2865833</v>
      </c>
      <c r="Q588" s="2312"/>
      <c r="R588" s="2312"/>
      <c r="S588" s="2312"/>
      <c r="T588" s="2313"/>
    </row>
    <row r="590" spans="2:21" ht="20.25">
      <c r="B590" s="2911" t="s">
        <v>2749</v>
      </c>
      <c r="C590" s="2962"/>
      <c r="D590" s="2962"/>
      <c r="E590" s="2962"/>
      <c r="F590" s="2962"/>
      <c r="G590" s="2962"/>
      <c r="H590" s="2962"/>
      <c r="I590" s="1586"/>
      <c r="J590" s="1586"/>
      <c r="K590" s="1586"/>
      <c r="L590" s="1586"/>
      <c r="M590" s="1586"/>
      <c r="N590" s="1586"/>
      <c r="O590" s="2314"/>
      <c r="P590" s="2314"/>
      <c r="Q590" s="2314"/>
      <c r="R590" s="1586"/>
      <c r="S590" s="1586"/>
      <c r="T590" s="1586"/>
      <c r="U590" s="1586"/>
    </row>
    <row r="591" spans="2:21" ht="15">
      <c r="B591" s="1586"/>
      <c r="C591" s="1586"/>
      <c r="D591" s="1586"/>
      <c r="E591" s="1586"/>
      <c r="F591" s="1586"/>
      <c r="G591" s="1586"/>
      <c r="H591" s="1586"/>
      <c r="I591" s="1586"/>
      <c r="J591" s="1586"/>
      <c r="K591" s="1586"/>
      <c r="L591" s="1586"/>
      <c r="M591" s="1586"/>
      <c r="N591" s="1586"/>
      <c r="O591" s="2314"/>
      <c r="P591" s="2314"/>
      <c r="Q591" s="2314"/>
      <c r="R591" s="1586"/>
      <c r="S591" s="1586"/>
      <c r="T591" s="1586"/>
      <c r="U591" s="1586"/>
    </row>
    <row r="592" spans="2:21" ht="15">
      <c r="B592" s="2912" t="s">
        <v>653</v>
      </c>
      <c r="C592" s="2914"/>
      <c r="D592" s="2914"/>
      <c r="E592" s="1586"/>
      <c r="F592" s="2315">
        <v>2020</v>
      </c>
      <c r="G592" s="1586"/>
      <c r="H592" s="1586"/>
      <c r="I592" s="1586"/>
      <c r="J592" s="1586"/>
      <c r="K592" s="1586"/>
      <c r="L592" s="1586"/>
      <c r="M592" s="1586"/>
      <c r="N592" s="1586"/>
      <c r="O592" s="2314"/>
      <c r="P592" s="2314"/>
      <c r="Q592" s="2314"/>
      <c r="R592" s="1586"/>
      <c r="S592" s="1586"/>
      <c r="T592" s="1586"/>
      <c r="U592" s="1586"/>
    </row>
    <row r="593" spans="2:21" ht="15">
      <c r="B593" s="1586"/>
      <c r="C593" s="1586"/>
      <c r="D593" s="1586"/>
      <c r="E593" s="1586"/>
      <c r="F593" s="1586"/>
      <c r="G593" s="1586"/>
      <c r="H593" s="1586"/>
      <c r="I593" s="1586"/>
      <c r="J593" s="1586"/>
      <c r="K593" s="1586"/>
      <c r="L593" s="1586"/>
      <c r="M593" s="1586"/>
      <c r="N593" s="1586"/>
      <c r="O593" s="2314"/>
      <c r="P593" s="2314"/>
      <c r="Q593" s="2314"/>
      <c r="R593" s="1586"/>
      <c r="S593" s="1586"/>
      <c r="T593" s="1586"/>
      <c r="U593" s="1586"/>
    </row>
    <row r="594" spans="2:21" ht="15">
      <c r="B594" s="2912" t="s">
        <v>655</v>
      </c>
      <c r="C594" s="2914"/>
      <c r="D594" s="2914"/>
      <c r="E594" s="1586"/>
      <c r="F594" s="2913" t="s">
        <v>2937</v>
      </c>
      <c r="G594" s="2914"/>
      <c r="H594" s="2914"/>
      <c r="I594" s="2914"/>
      <c r="J594" s="2914"/>
      <c r="K594" s="1586"/>
      <c r="L594" s="1586"/>
      <c r="M594" s="1586"/>
      <c r="N594" s="1586"/>
      <c r="O594" s="2314"/>
      <c r="P594" s="2314"/>
      <c r="Q594" s="2314"/>
      <c r="R594" s="1586"/>
      <c r="S594" s="1586"/>
      <c r="T594" s="1586"/>
      <c r="U594" s="1586"/>
    </row>
    <row r="595" spans="2:21" ht="15">
      <c r="B595" s="1586"/>
      <c r="C595" s="1586"/>
      <c r="D595" s="1586"/>
      <c r="E595" s="1586"/>
      <c r="F595" s="1586"/>
      <c r="G595" s="1586"/>
      <c r="H595" s="1586"/>
      <c r="I595" s="1586"/>
      <c r="J595" s="1586"/>
      <c r="K595" s="1586"/>
      <c r="L595" s="1586"/>
      <c r="M595" s="1586"/>
      <c r="N595" s="1586"/>
      <c r="O595" s="2314"/>
      <c r="P595" s="2314"/>
      <c r="Q595" s="2314"/>
      <c r="R595" s="1586"/>
      <c r="S595" s="1586"/>
      <c r="T595" s="1586"/>
      <c r="U595" s="1586"/>
    </row>
    <row r="596" spans="2:21" ht="94.5">
      <c r="B596" s="2316"/>
      <c r="C596" s="2266" t="s">
        <v>657</v>
      </c>
      <c r="D596" s="2893" t="s">
        <v>587</v>
      </c>
      <c r="E596" s="2909"/>
      <c r="F596" s="2909"/>
      <c r="G596" s="2910"/>
      <c r="H596" s="2893" t="s">
        <v>2751</v>
      </c>
      <c r="I596" s="2910"/>
      <c r="J596" s="2893" t="s">
        <v>2752</v>
      </c>
      <c r="K596" s="2910"/>
      <c r="L596" s="2266" t="s">
        <v>2753</v>
      </c>
      <c r="M596" s="2266" t="s">
        <v>2754</v>
      </c>
      <c r="N596" s="2266" t="s">
        <v>2755</v>
      </c>
      <c r="O596" s="2267" t="s">
        <v>2756</v>
      </c>
      <c r="P596" s="2267" t="s">
        <v>2757</v>
      </c>
      <c r="Q596" s="2267" t="s">
        <v>2758</v>
      </c>
      <c r="R596" s="2266" t="s">
        <v>623</v>
      </c>
      <c r="S596" s="2266" t="s">
        <v>2759</v>
      </c>
      <c r="T596" s="2266" t="s">
        <v>2760</v>
      </c>
      <c r="U596" s="2266" t="s">
        <v>2761</v>
      </c>
    </row>
    <row r="597" spans="2:21" ht="90">
      <c r="B597" s="2316"/>
      <c r="C597" s="2268">
        <v>1</v>
      </c>
      <c r="D597" s="2882" t="s">
        <v>2938</v>
      </c>
      <c r="E597" s="2905"/>
      <c r="F597" s="2905"/>
      <c r="G597" s="2906"/>
      <c r="H597" s="2882" t="s">
        <v>706</v>
      </c>
      <c r="I597" s="2906"/>
      <c r="J597" s="2882" t="s">
        <v>2762</v>
      </c>
      <c r="K597" s="2906"/>
      <c r="L597" s="2268" t="s">
        <v>2763</v>
      </c>
      <c r="M597" s="2268" t="s">
        <v>2775</v>
      </c>
      <c r="N597" s="2268" t="s">
        <v>2765</v>
      </c>
      <c r="O597" s="2269">
        <v>100000</v>
      </c>
      <c r="P597" s="2270" t="s">
        <v>2766</v>
      </c>
      <c r="Q597" s="2270">
        <v>100000</v>
      </c>
      <c r="R597" s="2268"/>
      <c r="S597" s="2268" t="s">
        <v>2767</v>
      </c>
      <c r="T597" s="2268" t="s">
        <v>2768</v>
      </c>
      <c r="U597" s="2268"/>
    </row>
    <row r="598" spans="2:21" ht="30">
      <c r="B598" s="2316"/>
      <c r="C598" s="2271" t="s">
        <v>676</v>
      </c>
      <c r="D598" s="2888" t="s">
        <v>676</v>
      </c>
      <c r="E598" s="2907"/>
      <c r="F598" s="2907"/>
      <c r="G598" s="2908"/>
      <c r="H598" s="2888" t="s">
        <v>676</v>
      </c>
      <c r="I598" s="2908"/>
      <c r="J598" s="2888" t="s">
        <v>676</v>
      </c>
      <c r="K598" s="2908"/>
      <c r="L598" s="2271" t="s">
        <v>676</v>
      </c>
      <c r="M598" s="2271" t="s">
        <v>676</v>
      </c>
      <c r="N598" s="2271" t="s">
        <v>676</v>
      </c>
      <c r="O598" s="2272" t="s">
        <v>676</v>
      </c>
      <c r="P598" s="2270" t="s">
        <v>2769</v>
      </c>
      <c r="Q598" s="2270">
        <v>0</v>
      </c>
      <c r="R598" s="2271" t="s">
        <v>676</v>
      </c>
      <c r="S598" s="2271" t="s">
        <v>676</v>
      </c>
      <c r="T598" s="2271" t="s">
        <v>676</v>
      </c>
      <c r="U598" s="2271" t="s">
        <v>676</v>
      </c>
    </row>
    <row r="599" spans="2:21" ht="30">
      <c r="B599" s="2316"/>
      <c r="C599" s="2271" t="s">
        <v>676</v>
      </c>
      <c r="D599" s="2891" t="s">
        <v>676</v>
      </c>
      <c r="E599" s="2907"/>
      <c r="F599" s="2907"/>
      <c r="G599" s="2908"/>
      <c r="H599" s="2892" t="s">
        <v>676</v>
      </c>
      <c r="I599" s="2907"/>
      <c r="J599" s="2888" t="s">
        <v>676</v>
      </c>
      <c r="K599" s="2908"/>
      <c r="L599" s="2271" t="s">
        <v>676</v>
      </c>
      <c r="M599" s="2271" t="s">
        <v>676</v>
      </c>
      <c r="N599" s="2271" t="s">
        <v>676</v>
      </c>
      <c r="O599" s="2272" t="s">
        <v>676</v>
      </c>
      <c r="P599" s="2270" t="s">
        <v>2770</v>
      </c>
      <c r="Q599" s="2270">
        <v>0</v>
      </c>
      <c r="R599" s="2271" t="s">
        <v>676</v>
      </c>
      <c r="S599" s="2271" t="s">
        <v>676</v>
      </c>
      <c r="T599" s="2271" t="s">
        <v>676</v>
      </c>
      <c r="U599" s="2271" t="s">
        <v>676</v>
      </c>
    </row>
    <row r="600" spans="2:21" ht="90">
      <c r="B600" s="2316"/>
      <c r="C600" s="2268">
        <v>2</v>
      </c>
      <c r="D600" s="2882" t="s">
        <v>2939</v>
      </c>
      <c r="E600" s="2905"/>
      <c r="F600" s="2905"/>
      <c r="G600" s="2906"/>
      <c r="H600" s="2882" t="s">
        <v>706</v>
      </c>
      <c r="I600" s="2906"/>
      <c r="J600" s="2882" t="s">
        <v>2762</v>
      </c>
      <c r="K600" s="2906"/>
      <c r="L600" s="2268" t="s">
        <v>2763</v>
      </c>
      <c r="M600" s="2268" t="s">
        <v>2775</v>
      </c>
      <c r="N600" s="2268" t="s">
        <v>2765</v>
      </c>
      <c r="O600" s="2269">
        <v>100000</v>
      </c>
      <c r="P600" s="2270" t="s">
        <v>2766</v>
      </c>
      <c r="Q600" s="2270">
        <v>100000</v>
      </c>
      <c r="R600" s="2268"/>
      <c r="S600" s="2268" t="s">
        <v>2767</v>
      </c>
      <c r="T600" s="2268" t="s">
        <v>2768</v>
      </c>
      <c r="U600" s="2268"/>
    </row>
    <row r="601" spans="2:21" ht="30">
      <c r="B601" s="2316"/>
      <c r="C601" s="2271" t="s">
        <v>676</v>
      </c>
      <c r="D601" s="2888" t="s">
        <v>676</v>
      </c>
      <c r="E601" s="2907"/>
      <c r="F601" s="2907"/>
      <c r="G601" s="2908"/>
      <c r="H601" s="2888" t="s">
        <v>676</v>
      </c>
      <c r="I601" s="2908"/>
      <c r="J601" s="2888" t="s">
        <v>676</v>
      </c>
      <c r="K601" s="2908"/>
      <c r="L601" s="2271" t="s">
        <v>676</v>
      </c>
      <c r="M601" s="2271" t="s">
        <v>676</v>
      </c>
      <c r="N601" s="2271" t="s">
        <v>676</v>
      </c>
      <c r="O601" s="2272" t="s">
        <v>676</v>
      </c>
      <c r="P601" s="2270" t="s">
        <v>2769</v>
      </c>
      <c r="Q601" s="2270">
        <v>0</v>
      </c>
      <c r="R601" s="2271" t="s">
        <v>676</v>
      </c>
      <c r="S601" s="2271" t="s">
        <v>676</v>
      </c>
      <c r="T601" s="2271" t="s">
        <v>676</v>
      </c>
      <c r="U601" s="2271" t="s">
        <v>676</v>
      </c>
    </row>
    <row r="602" spans="2:21" ht="30">
      <c r="B602" s="2316"/>
      <c r="C602" s="2271" t="s">
        <v>676</v>
      </c>
      <c r="D602" s="2891" t="s">
        <v>676</v>
      </c>
      <c r="E602" s="2907"/>
      <c r="F602" s="2907"/>
      <c r="G602" s="2908"/>
      <c r="H602" s="2892" t="s">
        <v>676</v>
      </c>
      <c r="I602" s="2907"/>
      <c r="J602" s="2888" t="s">
        <v>676</v>
      </c>
      <c r="K602" s="2908"/>
      <c r="L602" s="2271" t="s">
        <v>676</v>
      </c>
      <c r="M602" s="2271" t="s">
        <v>676</v>
      </c>
      <c r="N602" s="2271" t="s">
        <v>676</v>
      </c>
      <c r="O602" s="2272" t="s">
        <v>676</v>
      </c>
      <c r="P602" s="2270" t="s">
        <v>2770</v>
      </c>
      <c r="Q602" s="2270">
        <v>0</v>
      </c>
      <c r="R602" s="2271" t="s">
        <v>676</v>
      </c>
      <c r="S602" s="2271" t="s">
        <v>676</v>
      </c>
      <c r="T602" s="2271" t="s">
        <v>676</v>
      </c>
      <c r="U602" s="2271" t="s">
        <v>676</v>
      </c>
    </row>
    <row r="603" spans="2:21" ht="60">
      <c r="B603" s="2316"/>
      <c r="C603" s="2268">
        <v>3</v>
      </c>
      <c r="D603" s="2882" t="s">
        <v>1486</v>
      </c>
      <c r="E603" s="2905"/>
      <c r="F603" s="2905"/>
      <c r="G603" s="2906"/>
      <c r="H603" s="2882" t="s">
        <v>855</v>
      </c>
      <c r="I603" s="2906"/>
      <c r="J603" s="2882" t="s">
        <v>2762</v>
      </c>
      <c r="K603" s="2906"/>
      <c r="L603" s="2268" t="s">
        <v>2763</v>
      </c>
      <c r="M603" s="2268" t="s">
        <v>2775</v>
      </c>
      <c r="N603" s="2268" t="s">
        <v>2776</v>
      </c>
      <c r="O603" s="2269">
        <v>625000</v>
      </c>
      <c r="P603" s="2270" t="s">
        <v>2766</v>
      </c>
      <c r="Q603" s="2270">
        <v>625000</v>
      </c>
      <c r="R603" s="2268" t="s">
        <v>688</v>
      </c>
      <c r="S603" s="2268" t="s">
        <v>2767</v>
      </c>
      <c r="T603" s="2268" t="s">
        <v>2768</v>
      </c>
      <c r="U603" s="2268"/>
    </row>
    <row r="604" spans="2:21" ht="30">
      <c r="B604" s="2316"/>
      <c r="C604" s="2271" t="s">
        <v>676</v>
      </c>
      <c r="D604" s="2888" t="s">
        <v>676</v>
      </c>
      <c r="E604" s="2907"/>
      <c r="F604" s="2907"/>
      <c r="G604" s="2908"/>
      <c r="H604" s="2888" t="s">
        <v>676</v>
      </c>
      <c r="I604" s="2908"/>
      <c r="J604" s="2888" t="s">
        <v>676</v>
      </c>
      <c r="K604" s="2908"/>
      <c r="L604" s="2271" t="s">
        <v>676</v>
      </c>
      <c r="M604" s="2271" t="s">
        <v>676</v>
      </c>
      <c r="N604" s="2271" t="s">
        <v>676</v>
      </c>
      <c r="O604" s="2272" t="s">
        <v>676</v>
      </c>
      <c r="P604" s="2270" t="s">
        <v>2769</v>
      </c>
      <c r="Q604" s="2270">
        <v>0</v>
      </c>
      <c r="R604" s="2271" t="s">
        <v>676</v>
      </c>
      <c r="S604" s="2271" t="s">
        <v>676</v>
      </c>
      <c r="T604" s="2271" t="s">
        <v>676</v>
      </c>
      <c r="U604" s="2271" t="s">
        <v>676</v>
      </c>
    </row>
    <row r="605" spans="2:21" ht="30">
      <c r="B605" s="2316"/>
      <c r="C605" s="2271" t="s">
        <v>676</v>
      </c>
      <c r="D605" s="2891" t="s">
        <v>676</v>
      </c>
      <c r="E605" s="2907"/>
      <c r="F605" s="2907"/>
      <c r="G605" s="2908"/>
      <c r="H605" s="2892" t="s">
        <v>676</v>
      </c>
      <c r="I605" s="2907"/>
      <c r="J605" s="2888" t="s">
        <v>676</v>
      </c>
      <c r="K605" s="2908"/>
      <c r="L605" s="2271" t="s">
        <v>676</v>
      </c>
      <c r="M605" s="2271" t="s">
        <v>676</v>
      </c>
      <c r="N605" s="2271" t="s">
        <v>676</v>
      </c>
      <c r="O605" s="2272" t="s">
        <v>676</v>
      </c>
      <c r="P605" s="2270" t="s">
        <v>2770</v>
      </c>
      <c r="Q605" s="2270">
        <v>0</v>
      </c>
      <c r="R605" s="2271" t="s">
        <v>676</v>
      </c>
      <c r="S605" s="2271" t="s">
        <v>676</v>
      </c>
      <c r="T605" s="2271" t="s">
        <v>676</v>
      </c>
      <c r="U605" s="2271" t="s">
        <v>676</v>
      </c>
    </row>
    <row r="606" spans="2:21" ht="90">
      <c r="B606" s="2316"/>
      <c r="C606" s="2268">
        <v>4</v>
      </c>
      <c r="D606" s="2882" t="s">
        <v>2940</v>
      </c>
      <c r="E606" s="2905"/>
      <c r="F606" s="2905"/>
      <c r="G606" s="2906"/>
      <c r="H606" s="2882" t="s">
        <v>1081</v>
      </c>
      <c r="I606" s="2906"/>
      <c r="J606" s="2882" t="s">
        <v>2762</v>
      </c>
      <c r="K606" s="2906"/>
      <c r="L606" s="2268" t="s">
        <v>2763</v>
      </c>
      <c r="M606" s="2268" t="s">
        <v>2764</v>
      </c>
      <c r="N606" s="2268" t="s">
        <v>2765</v>
      </c>
      <c r="O606" s="2269">
        <v>100000</v>
      </c>
      <c r="P606" s="2270" t="s">
        <v>2766</v>
      </c>
      <c r="Q606" s="2270">
        <v>100000</v>
      </c>
      <c r="R606" s="2268"/>
      <c r="S606" s="2268" t="s">
        <v>2767</v>
      </c>
      <c r="T606" s="2268" t="s">
        <v>2768</v>
      </c>
      <c r="U606" s="2268"/>
    </row>
    <row r="607" spans="2:21" ht="30">
      <c r="B607" s="2316"/>
      <c r="C607" s="2271" t="s">
        <v>676</v>
      </c>
      <c r="D607" s="2888" t="s">
        <v>676</v>
      </c>
      <c r="E607" s="2907"/>
      <c r="F607" s="2907"/>
      <c r="G607" s="2908"/>
      <c r="H607" s="2888" t="s">
        <v>676</v>
      </c>
      <c r="I607" s="2908"/>
      <c r="J607" s="2888" t="s">
        <v>676</v>
      </c>
      <c r="K607" s="2908"/>
      <c r="L607" s="2271" t="s">
        <v>676</v>
      </c>
      <c r="M607" s="2271" t="s">
        <v>676</v>
      </c>
      <c r="N607" s="2271" t="s">
        <v>676</v>
      </c>
      <c r="O607" s="2272" t="s">
        <v>676</v>
      </c>
      <c r="P607" s="2270" t="s">
        <v>2769</v>
      </c>
      <c r="Q607" s="2270">
        <v>0</v>
      </c>
      <c r="R607" s="2271" t="s">
        <v>676</v>
      </c>
      <c r="S607" s="2271" t="s">
        <v>676</v>
      </c>
      <c r="T607" s="2271" t="s">
        <v>676</v>
      </c>
      <c r="U607" s="2271" t="s">
        <v>676</v>
      </c>
    </row>
    <row r="608" spans="2:21" ht="30">
      <c r="B608" s="2316"/>
      <c r="C608" s="2271" t="s">
        <v>676</v>
      </c>
      <c r="D608" s="2891" t="s">
        <v>676</v>
      </c>
      <c r="E608" s="2907"/>
      <c r="F608" s="2907"/>
      <c r="G608" s="2908"/>
      <c r="H608" s="2892" t="s">
        <v>676</v>
      </c>
      <c r="I608" s="2907"/>
      <c r="J608" s="2888" t="s">
        <v>676</v>
      </c>
      <c r="K608" s="2908"/>
      <c r="L608" s="2271" t="s">
        <v>676</v>
      </c>
      <c r="M608" s="2271" t="s">
        <v>676</v>
      </c>
      <c r="N608" s="2271" t="s">
        <v>676</v>
      </c>
      <c r="O608" s="2272" t="s">
        <v>676</v>
      </c>
      <c r="P608" s="2270" t="s">
        <v>2770</v>
      </c>
      <c r="Q608" s="2270">
        <v>0</v>
      </c>
      <c r="R608" s="2271" t="s">
        <v>676</v>
      </c>
      <c r="S608" s="2271" t="s">
        <v>676</v>
      </c>
      <c r="T608" s="2271" t="s">
        <v>676</v>
      </c>
      <c r="U608" s="2271" t="s">
        <v>676</v>
      </c>
    </row>
    <row r="609" spans="2:21" ht="90">
      <c r="B609" s="2316"/>
      <c r="C609" s="2268">
        <v>5</v>
      </c>
      <c r="D609" s="2882" t="s">
        <v>2941</v>
      </c>
      <c r="E609" s="2905"/>
      <c r="F609" s="2905"/>
      <c r="G609" s="2906"/>
      <c r="H609" s="2882" t="s">
        <v>706</v>
      </c>
      <c r="I609" s="2906"/>
      <c r="J609" s="2882" t="s">
        <v>2762</v>
      </c>
      <c r="K609" s="2906"/>
      <c r="L609" s="2268" t="s">
        <v>2763</v>
      </c>
      <c r="M609" s="2268" t="s">
        <v>2775</v>
      </c>
      <c r="N609" s="2268" t="s">
        <v>2765</v>
      </c>
      <c r="O609" s="2269">
        <v>100000</v>
      </c>
      <c r="P609" s="2270" t="s">
        <v>2766</v>
      </c>
      <c r="Q609" s="2270">
        <v>100000</v>
      </c>
      <c r="R609" s="2268"/>
      <c r="S609" s="2268" t="s">
        <v>2767</v>
      </c>
      <c r="T609" s="2268" t="s">
        <v>2768</v>
      </c>
      <c r="U609" s="2268"/>
    </row>
    <row r="610" spans="2:21" ht="30">
      <c r="B610" s="2316"/>
      <c r="C610" s="2271" t="s">
        <v>676</v>
      </c>
      <c r="D610" s="2888" t="s">
        <v>676</v>
      </c>
      <c r="E610" s="2907"/>
      <c r="F610" s="2907"/>
      <c r="G610" s="2908"/>
      <c r="H610" s="2888" t="s">
        <v>676</v>
      </c>
      <c r="I610" s="2908"/>
      <c r="J610" s="2888" t="s">
        <v>676</v>
      </c>
      <c r="K610" s="2908"/>
      <c r="L610" s="2271" t="s">
        <v>676</v>
      </c>
      <c r="M610" s="2271" t="s">
        <v>676</v>
      </c>
      <c r="N610" s="2271" t="s">
        <v>676</v>
      </c>
      <c r="O610" s="2272" t="s">
        <v>676</v>
      </c>
      <c r="P610" s="2270" t="s">
        <v>2769</v>
      </c>
      <c r="Q610" s="2270">
        <v>0</v>
      </c>
      <c r="R610" s="2271" t="s">
        <v>676</v>
      </c>
      <c r="S610" s="2271" t="s">
        <v>676</v>
      </c>
      <c r="T610" s="2271" t="s">
        <v>676</v>
      </c>
      <c r="U610" s="2271" t="s">
        <v>676</v>
      </c>
    </row>
    <row r="611" spans="2:21" ht="30">
      <c r="B611" s="2316"/>
      <c r="C611" s="2271" t="s">
        <v>676</v>
      </c>
      <c r="D611" s="2891" t="s">
        <v>676</v>
      </c>
      <c r="E611" s="2907"/>
      <c r="F611" s="2907"/>
      <c r="G611" s="2908"/>
      <c r="H611" s="2892" t="s">
        <v>676</v>
      </c>
      <c r="I611" s="2907"/>
      <c r="J611" s="2888" t="s">
        <v>676</v>
      </c>
      <c r="K611" s="2908"/>
      <c r="L611" s="2271" t="s">
        <v>676</v>
      </c>
      <c r="M611" s="2271" t="s">
        <v>676</v>
      </c>
      <c r="N611" s="2271" t="s">
        <v>676</v>
      </c>
      <c r="O611" s="2272" t="s">
        <v>676</v>
      </c>
      <c r="P611" s="2270" t="s">
        <v>2770</v>
      </c>
      <c r="Q611" s="2270">
        <v>0</v>
      </c>
      <c r="R611" s="2271" t="s">
        <v>676</v>
      </c>
      <c r="S611" s="2271" t="s">
        <v>676</v>
      </c>
      <c r="T611" s="2271" t="s">
        <v>676</v>
      </c>
      <c r="U611" s="2271" t="s">
        <v>676</v>
      </c>
    </row>
    <row r="612" spans="2:21" ht="90">
      <c r="B612" s="2316"/>
      <c r="C612" s="2268">
        <v>6</v>
      </c>
      <c r="D612" s="2882" t="s">
        <v>2942</v>
      </c>
      <c r="E612" s="2905"/>
      <c r="F612" s="2905"/>
      <c r="G612" s="2906"/>
      <c r="H612" s="2882" t="s">
        <v>1004</v>
      </c>
      <c r="I612" s="2906"/>
      <c r="J612" s="2882" t="s">
        <v>2762</v>
      </c>
      <c r="K612" s="2906"/>
      <c r="L612" s="2268" t="s">
        <v>2763</v>
      </c>
      <c r="M612" s="2268" t="s">
        <v>2764</v>
      </c>
      <c r="N612" s="2268" t="s">
        <v>2765</v>
      </c>
      <c r="O612" s="2269">
        <v>100000</v>
      </c>
      <c r="P612" s="2270" t="s">
        <v>2766</v>
      </c>
      <c r="Q612" s="2270">
        <v>100000</v>
      </c>
      <c r="R612" s="2268"/>
      <c r="S612" s="2268" t="s">
        <v>2767</v>
      </c>
      <c r="T612" s="2268" t="s">
        <v>2768</v>
      </c>
      <c r="U612" s="2268"/>
    </row>
    <row r="613" spans="2:21" ht="30">
      <c r="B613" s="2316"/>
      <c r="C613" s="2271" t="s">
        <v>676</v>
      </c>
      <c r="D613" s="2888" t="s">
        <v>676</v>
      </c>
      <c r="E613" s="2907"/>
      <c r="F613" s="2907"/>
      <c r="G613" s="2908"/>
      <c r="H613" s="2888" t="s">
        <v>676</v>
      </c>
      <c r="I613" s="2908"/>
      <c r="J613" s="2888" t="s">
        <v>676</v>
      </c>
      <c r="K613" s="2908"/>
      <c r="L613" s="2271" t="s">
        <v>676</v>
      </c>
      <c r="M613" s="2271" t="s">
        <v>676</v>
      </c>
      <c r="N613" s="2271" t="s">
        <v>676</v>
      </c>
      <c r="O613" s="2272" t="s">
        <v>676</v>
      </c>
      <c r="P613" s="2270" t="s">
        <v>2769</v>
      </c>
      <c r="Q613" s="2270">
        <v>0</v>
      </c>
      <c r="R613" s="2271" t="s">
        <v>676</v>
      </c>
      <c r="S613" s="2271" t="s">
        <v>676</v>
      </c>
      <c r="T613" s="2271" t="s">
        <v>676</v>
      </c>
      <c r="U613" s="2271" t="s">
        <v>676</v>
      </c>
    </row>
    <row r="614" spans="2:21" ht="30">
      <c r="B614" s="2316"/>
      <c r="C614" s="2271" t="s">
        <v>676</v>
      </c>
      <c r="D614" s="2891" t="s">
        <v>676</v>
      </c>
      <c r="E614" s="2907"/>
      <c r="F614" s="2907"/>
      <c r="G614" s="2908"/>
      <c r="H614" s="2892" t="s">
        <v>676</v>
      </c>
      <c r="I614" s="2907"/>
      <c r="J614" s="2888" t="s">
        <v>676</v>
      </c>
      <c r="K614" s="2908"/>
      <c r="L614" s="2271" t="s">
        <v>676</v>
      </c>
      <c r="M614" s="2271" t="s">
        <v>676</v>
      </c>
      <c r="N614" s="2271" t="s">
        <v>676</v>
      </c>
      <c r="O614" s="2272" t="s">
        <v>676</v>
      </c>
      <c r="P614" s="2270" t="s">
        <v>2770</v>
      </c>
      <c r="Q614" s="2270">
        <v>0</v>
      </c>
      <c r="R614" s="2271" t="s">
        <v>676</v>
      </c>
      <c r="S614" s="2271" t="s">
        <v>676</v>
      </c>
      <c r="T614" s="2271" t="s">
        <v>676</v>
      </c>
      <c r="U614" s="2271" t="s">
        <v>676</v>
      </c>
    </row>
    <row r="615" spans="2:21" ht="90">
      <c r="B615" s="2316"/>
      <c r="C615" s="2268">
        <v>7</v>
      </c>
      <c r="D615" s="2882" t="s">
        <v>2943</v>
      </c>
      <c r="E615" s="2905"/>
      <c r="F615" s="2905"/>
      <c r="G615" s="2906"/>
      <c r="H615" s="2882" t="s">
        <v>1081</v>
      </c>
      <c r="I615" s="2906"/>
      <c r="J615" s="2882" t="s">
        <v>2762</v>
      </c>
      <c r="K615" s="2906"/>
      <c r="L615" s="2268" t="s">
        <v>2763</v>
      </c>
      <c r="M615" s="2268" t="s">
        <v>2764</v>
      </c>
      <c r="N615" s="2268" t="s">
        <v>2765</v>
      </c>
      <c r="O615" s="2269">
        <v>100000</v>
      </c>
      <c r="P615" s="2270" t="s">
        <v>2766</v>
      </c>
      <c r="Q615" s="2270">
        <v>100000</v>
      </c>
      <c r="R615" s="2268"/>
      <c r="S615" s="2268" t="s">
        <v>2767</v>
      </c>
      <c r="T615" s="2268" t="s">
        <v>2768</v>
      </c>
      <c r="U615" s="2268"/>
    </row>
    <row r="616" spans="2:21" ht="30">
      <c r="B616" s="2316"/>
      <c r="C616" s="2271" t="s">
        <v>676</v>
      </c>
      <c r="D616" s="2888" t="s">
        <v>676</v>
      </c>
      <c r="E616" s="2907"/>
      <c r="F616" s="2907"/>
      <c r="G616" s="2908"/>
      <c r="H616" s="2888" t="s">
        <v>676</v>
      </c>
      <c r="I616" s="2908"/>
      <c r="J616" s="2888" t="s">
        <v>676</v>
      </c>
      <c r="K616" s="2908"/>
      <c r="L616" s="2271" t="s">
        <v>676</v>
      </c>
      <c r="M616" s="2271" t="s">
        <v>676</v>
      </c>
      <c r="N616" s="2271" t="s">
        <v>676</v>
      </c>
      <c r="O616" s="2272" t="s">
        <v>676</v>
      </c>
      <c r="P616" s="2270" t="s">
        <v>2769</v>
      </c>
      <c r="Q616" s="2270">
        <v>0</v>
      </c>
      <c r="R616" s="2271" t="s">
        <v>676</v>
      </c>
      <c r="S616" s="2271" t="s">
        <v>676</v>
      </c>
      <c r="T616" s="2271" t="s">
        <v>676</v>
      </c>
      <c r="U616" s="2271" t="s">
        <v>676</v>
      </c>
    </row>
    <row r="617" spans="2:21" ht="30">
      <c r="B617" s="2316"/>
      <c r="C617" s="2271" t="s">
        <v>676</v>
      </c>
      <c r="D617" s="2891" t="s">
        <v>676</v>
      </c>
      <c r="E617" s="2907"/>
      <c r="F617" s="2907"/>
      <c r="G617" s="2908"/>
      <c r="H617" s="2892" t="s">
        <v>676</v>
      </c>
      <c r="I617" s="2907"/>
      <c r="J617" s="2888" t="s">
        <v>676</v>
      </c>
      <c r="K617" s="2908"/>
      <c r="L617" s="2271" t="s">
        <v>676</v>
      </c>
      <c r="M617" s="2271" t="s">
        <v>676</v>
      </c>
      <c r="N617" s="2271" t="s">
        <v>676</v>
      </c>
      <c r="O617" s="2272" t="s">
        <v>676</v>
      </c>
      <c r="P617" s="2270" t="s">
        <v>2770</v>
      </c>
      <c r="Q617" s="2270">
        <v>0</v>
      </c>
      <c r="R617" s="2271" t="s">
        <v>676</v>
      </c>
      <c r="S617" s="2271" t="s">
        <v>676</v>
      </c>
      <c r="T617" s="2271" t="s">
        <v>676</v>
      </c>
      <c r="U617" s="2271" t="s">
        <v>676</v>
      </c>
    </row>
    <row r="618" spans="2:21" ht="90">
      <c r="B618" s="2316"/>
      <c r="C618" s="2268">
        <v>8</v>
      </c>
      <c r="D618" s="2882" t="s">
        <v>1463</v>
      </c>
      <c r="E618" s="2905"/>
      <c r="F618" s="2905"/>
      <c r="G618" s="2906"/>
      <c r="H618" s="2882" t="s">
        <v>985</v>
      </c>
      <c r="I618" s="2906"/>
      <c r="J618" s="2882" t="s">
        <v>2762</v>
      </c>
      <c r="K618" s="2906"/>
      <c r="L618" s="2268" t="s">
        <v>2763</v>
      </c>
      <c r="M618" s="2268" t="s">
        <v>2764</v>
      </c>
      <c r="N618" s="2268" t="s">
        <v>2765</v>
      </c>
      <c r="O618" s="2269">
        <v>100000</v>
      </c>
      <c r="P618" s="2270" t="s">
        <v>2766</v>
      </c>
      <c r="Q618" s="2270">
        <v>100000</v>
      </c>
      <c r="R618" s="2268"/>
      <c r="S618" s="2268" t="s">
        <v>2767</v>
      </c>
      <c r="T618" s="2268" t="s">
        <v>2768</v>
      </c>
      <c r="U618" s="2268"/>
    </row>
    <row r="619" spans="2:21" ht="30">
      <c r="B619" s="2316"/>
      <c r="C619" s="2271" t="s">
        <v>676</v>
      </c>
      <c r="D619" s="2888" t="s">
        <v>676</v>
      </c>
      <c r="E619" s="2907"/>
      <c r="F619" s="2907"/>
      <c r="G619" s="2908"/>
      <c r="H619" s="2888" t="s">
        <v>676</v>
      </c>
      <c r="I619" s="2908"/>
      <c r="J619" s="2888" t="s">
        <v>676</v>
      </c>
      <c r="K619" s="2908"/>
      <c r="L619" s="2271" t="s">
        <v>676</v>
      </c>
      <c r="M619" s="2271" t="s">
        <v>676</v>
      </c>
      <c r="N619" s="2271" t="s">
        <v>676</v>
      </c>
      <c r="O619" s="2272" t="s">
        <v>676</v>
      </c>
      <c r="P619" s="2270" t="s">
        <v>2769</v>
      </c>
      <c r="Q619" s="2270">
        <v>0</v>
      </c>
      <c r="R619" s="2271" t="s">
        <v>676</v>
      </c>
      <c r="S619" s="2271" t="s">
        <v>676</v>
      </c>
      <c r="T619" s="2271" t="s">
        <v>676</v>
      </c>
      <c r="U619" s="2271" t="s">
        <v>676</v>
      </c>
    </row>
    <row r="620" spans="2:21" ht="30">
      <c r="B620" s="2316"/>
      <c r="C620" s="2271" t="s">
        <v>676</v>
      </c>
      <c r="D620" s="2891" t="s">
        <v>676</v>
      </c>
      <c r="E620" s="2907"/>
      <c r="F620" s="2907"/>
      <c r="G620" s="2908"/>
      <c r="H620" s="2892" t="s">
        <v>676</v>
      </c>
      <c r="I620" s="2907"/>
      <c r="J620" s="2888" t="s">
        <v>676</v>
      </c>
      <c r="K620" s="2908"/>
      <c r="L620" s="2271" t="s">
        <v>676</v>
      </c>
      <c r="M620" s="2271" t="s">
        <v>676</v>
      </c>
      <c r="N620" s="2271" t="s">
        <v>676</v>
      </c>
      <c r="O620" s="2272" t="s">
        <v>676</v>
      </c>
      <c r="P620" s="2270" t="s">
        <v>2770</v>
      </c>
      <c r="Q620" s="2270">
        <v>0</v>
      </c>
      <c r="R620" s="2271" t="s">
        <v>676</v>
      </c>
      <c r="S620" s="2271" t="s">
        <v>676</v>
      </c>
      <c r="T620" s="2271" t="s">
        <v>676</v>
      </c>
      <c r="U620" s="2271" t="s">
        <v>676</v>
      </c>
    </row>
    <row r="621" spans="2:21" ht="90">
      <c r="B621" s="2316"/>
      <c r="C621" s="2268">
        <v>9</v>
      </c>
      <c r="D621" s="2882" t="s">
        <v>2944</v>
      </c>
      <c r="E621" s="2905"/>
      <c r="F621" s="2905"/>
      <c r="G621" s="2906"/>
      <c r="H621" s="2882" t="s">
        <v>1081</v>
      </c>
      <c r="I621" s="2906"/>
      <c r="J621" s="2882" t="s">
        <v>2762</v>
      </c>
      <c r="K621" s="2906"/>
      <c r="L621" s="2268" t="s">
        <v>2763</v>
      </c>
      <c r="M621" s="2268" t="s">
        <v>2764</v>
      </c>
      <c r="N621" s="2268" t="s">
        <v>2765</v>
      </c>
      <c r="O621" s="2269">
        <v>100000</v>
      </c>
      <c r="P621" s="2270" t="s">
        <v>2766</v>
      </c>
      <c r="Q621" s="2270">
        <v>100000</v>
      </c>
      <c r="R621" s="2268"/>
      <c r="S621" s="2268" t="s">
        <v>2767</v>
      </c>
      <c r="T621" s="2268" t="s">
        <v>2768</v>
      </c>
      <c r="U621" s="2268"/>
    </row>
    <row r="622" spans="2:21" ht="30">
      <c r="B622" s="2316"/>
      <c r="C622" s="2271" t="s">
        <v>676</v>
      </c>
      <c r="D622" s="2888" t="s">
        <v>676</v>
      </c>
      <c r="E622" s="2907"/>
      <c r="F622" s="2907"/>
      <c r="G622" s="2908"/>
      <c r="H622" s="2888" t="s">
        <v>676</v>
      </c>
      <c r="I622" s="2908"/>
      <c r="J622" s="2888" t="s">
        <v>676</v>
      </c>
      <c r="K622" s="2908"/>
      <c r="L622" s="2271" t="s">
        <v>676</v>
      </c>
      <c r="M622" s="2271" t="s">
        <v>676</v>
      </c>
      <c r="N622" s="2271" t="s">
        <v>676</v>
      </c>
      <c r="O622" s="2272" t="s">
        <v>676</v>
      </c>
      <c r="P622" s="2270" t="s">
        <v>2769</v>
      </c>
      <c r="Q622" s="2270">
        <v>0</v>
      </c>
      <c r="R622" s="2271" t="s">
        <v>676</v>
      </c>
      <c r="S622" s="2271" t="s">
        <v>676</v>
      </c>
      <c r="T622" s="2271" t="s">
        <v>676</v>
      </c>
      <c r="U622" s="2271" t="s">
        <v>676</v>
      </c>
    </row>
    <row r="623" spans="2:21" ht="30">
      <c r="B623" s="2316"/>
      <c r="C623" s="2271" t="s">
        <v>676</v>
      </c>
      <c r="D623" s="2891" t="s">
        <v>676</v>
      </c>
      <c r="E623" s="2907"/>
      <c r="F623" s="2907"/>
      <c r="G623" s="2908"/>
      <c r="H623" s="2892" t="s">
        <v>676</v>
      </c>
      <c r="I623" s="2907"/>
      <c r="J623" s="2888" t="s">
        <v>676</v>
      </c>
      <c r="K623" s="2908"/>
      <c r="L623" s="2271" t="s">
        <v>676</v>
      </c>
      <c r="M623" s="2271" t="s">
        <v>676</v>
      </c>
      <c r="N623" s="2271" t="s">
        <v>676</v>
      </c>
      <c r="O623" s="2272" t="s">
        <v>676</v>
      </c>
      <c r="P623" s="2270" t="s">
        <v>2770</v>
      </c>
      <c r="Q623" s="2270">
        <v>0</v>
      </c>
      <c r="R623" s="2271" t="s">
        <v>676</v>
      </c>
      <c r="S623" s="2271" t="s">
        <v>676</v>
      </c>
      <c r="T623" s="2271" t="s">
        <v>676</v>
      </c>
      <c r="U623" s="2271" t="s">
        <v>676</v>
      </c>
    </row>
    <row r="624" spans="2:21" ht="60">
      <c r="B624" s="2316"/>
      <c r="C624" s="2268">
        <v>10</v>
      </c>
      <c r="D624" s="2882" t="s">
        <v>1665</v>
      </c>
      <c r="E624" s="2905"/>
      <c r="F624" s="2905"/>
      <c r="G624" s="2906"/>
      <c r="H624" s="2882" t="s">
        <v>796</v>
      </c>
      <c r="I624" s="2906"/>
      <c r="J624" s="2882" t="s">
        <v>2762</v>
      </c>
      <c r="K624" s="2906"/>
      <c r="L624" s="2268" t="s">
        <v>2763</v>
      </c>
      <c r="M624" s="2268" t="s">
        <v>2775</v>
      </c>
      <c r="N624" s="2268" t="s">
        <v>2776</v>
      </c>
      <c r="O624" s="2269">
        <v>625000</v>
      </c>
      <c r="P624" s="2270" t="s">
        <v>2766</v>
      </c>
      <c r="Q624" s="2270">
        <v>625000</v>
      </c>
      <c r="R624" s="2268" t="s">
        <v>688</v>
      </c>
      <c r="S624" s="2268" t="s">
        <v>2767</v>
      </c>
      <c r="T624" s="2268" t="s">
        <v>2768</v>
      </c>
      <c r="U624" s="2268"/>
    </row>
    <row r="625" spans="2:21" ht="30">
      <c r="B625" s="2316"/>
      <c r="C625" s="2271" t="s">
        <v>676</v>
      </c>
      <c r="D625" s="2888" t="s">
        <v>676</v>
      </c>
      <c r="E625" s="2907"/>
      <c r="F625" s="2907"/>
      <c r="G625" s="2908"/>
      <c r="H625" s="2888" t="s">
        <v>676</v>
      </c>
      <c r="I625" s="2908"/>
      <c r="J625" s="2888" t="s">
        <v>676</v>
      </c>
      <c r="K625" s="2908"/>
      <c r="L625" s="2271" t="s">
        <v>676</v>
      </c>
      <c r="M625" s="2271" t="s">
        <v>676</v>
      </c>
      <c r="N625" s="2271" t="s">
        <v>676</v>
      </c>
      <c r="O625" s="2272" t="s">
        <v>676</v>
      </c>
      <c r="P625" s="2270" t="s">
        <v>2769</v>
      </c>
      <c r="Q625" s="2270">
        <v>0</v>
      </c>
      <c r="R625" s="2271" t="s">
        <v>676</v>
      </c>
      <c r="S625" s="2271" t="s">
        <v>676</v>
      </c>
      <c r="T625" s="2271" t="s">
        <v>676</v>
      </c>
      <c r="U625" s="2271" t="s">
        <v>676</v>
      </c>
    </row>
    <row r="626" spans="2:21" ht="30">
      <c r="B626" s="2316"/>
      <c r="C626" s="2271" t="s">
        <v>676</v>
      </c>
      <c r="D626" s="2891" t="s">
        <v>676</v>
      </c>
      <c r="E626" s="2907"/>
      <c r="F626" s="2907"/>
      <c r="G626" s="2908"/>
      <c r="H626" s="2892" t="s">
        <v>676</v>
      </c>
      <c r="I626" s="2907"/>
      <c r="J626" s="2888" t="s">
        <v>676</v>
      </c>
      <c r="K626" s="2908"/>
      <c r="L626" s="2271" t="s">
        <v>676</v>
      </c>
      <c r="M626" s="2271" t="s">
        <v>676</v>
      </c>
      <c r="N626" s="2271" t="s">
        <v>676</v>
      </c>
      <c r="O626" s="2272" t="s">
        <v>676</v>
      </c>
      <c r="P626" s="2270" t="s">
        <v>2770</v>
      </c>
      <c r="Q626" s="2270">
        <v>0</v>
      </c>
      <c r="R626" s="2271" t="s">
        <v>676</v>
      </c>
      <c r="S626" s="2271" t="s">
        <v>676</v>
      </c>
      <c r="T626" s="2271" t="s">
        <v>676</v>
      </c>
      <c r="U626" s="2271" t="s">
        <v>676</v>
      </c>
    </row>
    <row r="627" spans="2:21" ht="90">
      <c r="B627" s="2316"/>
      <c r="C627" s="2268">
        <v>11</v>
      </c>
      <c r="D627" s="2882" t="s">
        <v>2945</v>
      </c>
      <c r="E627" s="2905"/>
      <c r="F627" s="2905"/>
      <c r="G627" s="2906"/>
      <c r="H627" s="2882" t="s">
        <v>1081</v>
      </c>
      <c r="I627" s="2906"/>
      <c r="J627" s="2882" t="s">
        <v>2762</v>
      </c>
      <c r="K627" s="2906"/>
      <c r="L627" s="2268" t="s">
        <v>2763</v>
      </c>
      <c r="M627" s="2268" t="s">
        <v>2764</v>
      </c>
      <c r="N627" s="2268" t="s">
        <v>2765</v>
      </c>
      <c r="O627" s="2269">
        <v>100000</v>
      </c>
      <c r="P627" s="2270" t="s">
        <v>2766</v>
      </c>
      <c r="Q627" s="2270">
        <v>100000</v>
      </c>
      <c r="R627" s="2268"/>
      <c r="S627" s="2268" t="s">
        <v>2767</v>
      </c>
      <c r="T627" s="2268" t="s">
        <v>2768</v>
      </c>
      <c r="U627" s="2268"/>
    </row>
    <row r="628" spans="2:21" ht="30">
      <c r="B628" s="2316"/>
      <c r="C628" s="2271" t="s">
        <v>676</v>
      </c>
      <c r="D628" s="2888" t="s">
        <v>676</v>
      </c>
      <c r="E628" s="2907"/>
      <c r="F628" s="2907"/>
      <c r="G628" s="2908"/>
      <c r="H628" s="2888" t="s">
        <v>676</v>
      </c>
      <c r="I628" s="2908"/>
      <c r="J628" s="2888" t="s">
        <v>676</v>
      </c>
      <c r="K628" s="2908"/>
      <c r="L628" s="2271" t="s">
        <v>676</v>
      </c>
      <c r="M628" s="2271" t="s">
        <v>676</v>
      </c>
      <c r="N628" s="2271" t="s">
        <v>676</v>
      </c>
      <c r="O628" s="2272" t="s">
        <v>676</v>
      </c>
      <c r="P628" s="2270" t="s">
        <v>2769</v>
      </c>
      <c r="Q628" s="2270">
        <v>0</v>
      </c>
      <c r="R628" s="2271" t="s">
        <v>676</v>
      </c>
      <c r="S628" s="2271" t="s">
        <v>676</v>
      </c>
      <c r="T628" s="2271" t="s">
        <v>676</v>
      </c>
      <c r="U628" s="2271" t="s">
        <v>676</v>
      </c>
    </row>
    <row r="629" spans="2:21" ht="30">
      <c r="B629" s="2316"/>
      <c r="C629" s="2271" t="s">
        <v>676</v>
      </c>
      <c r="D629" s="2891" t="s">
        <v>676</v>
      </c>
      <c r="E629" s="2907"/>
      <c r="F629" s="2907"/>
      <c r="G629" s="2908"/>
      <c r="H629" s="2892" t="s">
        <v>676</v>
      </c>
      <c r="I629" s="2907"/>
      <c r="J629" s="2888" t="s">
        <v>676</v>
      </c>
      <c r="K629" s="2908"/>
      <c r="L629" s="2271" t="s">
        <v>676</v>
      </c>
      <c r="M629" s="2271" t="s">
        <v>676</v>
      </c>
      <c r="N629" s="2271" t="s">
        <v>676</v>
      </c>
      <c r="O629" s="2272" t="s">
        <v>676</v>
      </c>
      <c r="P629" s="2270" t="s">
        <v>2770</v>
      </c>
      <c r="Q629" s="2270">
        <v>0</v>
      </c>
      <c r="R629" s="2271" t="s">
        <v>676</v>
      </c>
      <c r="S629" s="2271" t="s">
        <v>676</v>
      </c>
      <c r="T629" s="2271" t="s">
        <v>676</v>
      </c>
      <c r="U629" s="2271" t="s">
        <v>676</v>
      </c>
    </row>
    <row r="630" spans="2:21" ht="90">
      <c r="B630" s="2316"/>
      <c r="C630" s="2268">
        <v>12</v>
      </c>
      <c r="D630" s="2882" t="s">
        <v>2946</v>
      </c>
      <c r="E630" s="2905"/>
      <c r="F630" s="2905"/>
      <c r="G630" s="2906"/>
      <c r="H630" s="2882" t="s">
        <v>1004</v>
      </c>
      <c r="I630" s="2906"/>
      <c r="J630" s="2882" t="s">
        <v>2762</v>
      </c>
      <c r="K630" s="2906"/>
      <c r="L630" s="2268" t="s">
        <v>2763</v>
      </c>
      <c r="M630" s="2268" t="s">
        <v>2764</v>
      </c>
      <c r="N630" s="2268" t="s">
        <v>2765</v>
      </c>
      <c r="O630" s="2269">
        <v>100000</v>
      </c>
      <c r="P630" s="2270" t="s">
        <v>2766</v>
      </c>
      <c r="Q630" s="2270">
        <v>100000</v>
      </c>
      <c r="R630" s="2268"/>
      <c r="S630" s="2268" t="s">
        <v>2767</v>
      </c>
      <c r="T630" s="2268" t="s">
        <v>2768</v>
      </c>
      <c r="U630" s="2268"/>
    </row>
    <row r="631" spans="2:21" ht="30">
      <c r="B631" s="2316"/>
      <c r="C631" s="2271" t="s">
        <v>676</v>
      </c>
      <c r="D631" s="2888" t="s">
        <v>676</v>
      </c>
      <c r="E631" s="2907"/>
      <c r="F631" s="2907"/>
      <c r="G631" s="2908"/>
      <c r="H631" s="2888" t="s">
        <v>676</v>
      </c>
      <c r="I631" s="2908"/>
      <c r="J631" s="2888" t="s">
        <v>676</v>
      </c>
      <c r="K631" s="2908"/>
      <c r="L631" s="2271" t="s">
        <v>676</v>
      </c>
      <c r="M631" s="2271" t="s">
        <v>676</v>
      </c>
      <c r="N631" s="2271" t="s">
        <v>676</v>
      </c>
      <c r="O631" s="2272" t="s">
        <v>676</v>
      </c>
      <c r="P631" s="2270" t="s">
        <v>2769</v>
      </c>
      <c r="Q631" s="2270">
        <v>0</v>
      </c>
      <c r="R631" s="2271" t="s">
        <v>676</v>
      </c>
      <c r="S631" s="2271" t="s">
        <v>676</v>
      </c>
      <c r="T631" s="2271" t="s">
        <v>676</v>
      </c>
      <c r="U631" s="2271" t="s">
        <v>676</v>
      </c>
    </row>
    <row r="632" spans="2:21" ht="30">
      <c r="B632" s="2316"/>
      <c r="C632" s="2271" t="s">
        <v>676</v>
      </c>
      <c r="D632" s="2891" t="s">
        <v>676</v>
      </c>
      <c r="E632" s="2907"/>
      <c r="F632" s="2907"/>
      <c r="G632" s="2908"/>
      <c r="H632" s="2892" t="s">
        <v>676</v>
      </c>
      <c r="I632" s="2907"/>
      <c r="J632" s="2888" t="s">
        <v>676</v>
      </c>
      <c r="K632" s="2908"/>
      <c r="L632" s="2271" t="s">
        <v>676</v>
      </c>
      <c r="M632" s="2271" t="s">
        <v>676</v>
      </c>
      <c r="N632" s="2271" t="s">
        <v>676</v>
      </c>
      <c r="O632" s="2272" t="s">
        <v>676</v>
      </c>
      <c r="P632" s="2270" t="s">
        <v>2770</v>
      </c>
      <c r="Q632" s="2270">
        <v>0</v>
      </c>
      <c r="R632" s="2271" t="s">
        <v>676</v>
      </c>
      <c r="S632" s="2271" t="s">
        <v>676</v>
      </c>
      <c r="T632" s="2271" t="s">
        <v>676</v>
      </c>
      <c r="U632" s="2271" t="s">
        <v>676</v>
      </c>
    </row>
    <row r="633" spans="2:21" ht="60">
      <c r="B633" s="2316"/>
      <c r="C633" s="2268">
        <v>13</v>
      </c>
      <c r="D633" s="2882" t="s">
        <v>2947</v>
      </c>
      <c r="E633" s="2905"/>
      <c r="F633" s="2905"/>
      <c r="G633" s="2906"/>
      <c r="H633" s="2882" t="s">
        <v>675</v>
      </c>
      <c r="I633" s="2906"/>
      <c r="J633" s="2882" t="s">
        <v>2762</v>
      </c>
      <c r="K633" s="2906"/>
      <c r="L633" s="2268" t="s">
        <v>2763</v>
      </c>
      <c r="M633" s="2268" t="s">
        <v>2764</v>
      </c>
      <c r="N633" s="2268" t="s">
        <v>2776</v>
      </c>
      <c r="O633" s="2269">
        <v>291666.65999999997</v>
      </c>
      <c r="P633" s="2270" t="s">
        <v>2766</v>
      </c>
      <c r="Q633" s="2270">
        <v>291666.65999999997</v>
      </c>
      <c r="R633" s="2268" t="s">
        <v>688</v>
      </c>
      <c r="S633" s="2268" t="s">
        <v>2767</v>
      </c>
      <c r="T633" s="2268" t="s">
        <v>2768</v>
      </c>
      <c r="U633" s="2268"/>
    </row>
    <row r="634" spans="2:21" ht="30">
      <c r="B634" s="2316"/>
      <c r="C634" s="2271" t="s">
        <v>676</v>
      </c>
      <c r="D634" s="2888" t="s">
        <v>676</v>
      </c>
      <c r="E634" s="2907"/>
      <c r="F634" s="2907"/>
      <c r="G634" s="2908"/>
      <c r="H634" s="2888" t="s">
        <v>676</v>
      </c>
      <c r="I634" s="2908"/>
      <c r="J634" s="2888" t="s">
        <v>676</v>
      </c>
      <c r="K634" s="2908"/>
      <c r="L634" s="2271" t="s">
        <v>676</v>
      </c>
      <c r="M634" s="2271" t="s">
        <v>676</v>
      </c>
      <c r="N634" s="2271" t="s">
        <v>676</v>
      </c>
      <c r="O634" s="2272" t="s">
        <v>676</v>
      </c>
      <c r="P634" s="2270" t="s">
        <v>2769</v>
      </c>
      <c r="Q634" s="2270">
        <v>0</v>
      </c>
      <c r="R634" s="2271" t="s">
        <v>676</v>
      </c>
      <c r="S634" s="2271" t="s">
        <v>676</v>
      </c>
      <c r="T634" s="2271" t="s">
        <v>676</v>
      </c>
      <c r="U634" s="2271" t="s">
        <v>676</v>
      </c>
    </row>
    <row r="635" spans="2:21" ht="30">
      <c r="B635" s="2316"/>
      <c r="C635" s="2271" t="s">
        <v>676</v>
      </c>
      <c r="D635" s="2891" t="s">
        <v>676</v>
      </c>
      <c r="E635" s="2907"/>
      <c r="F635" s="2907"/>
      <c r="G635" s="2908"/>
      <c r="H635" s="2892" t="s">
        <v>676</v>
      </c>
      <c r="I635" s="2907"/>
      <c r="J635" s="2888" t="s">
        <v>676</v>
      </c>
      <c r="K635" s="2908"/>
      <c r="L635" s="2271" t="s">
        <v>676</v>
      </c>
      <c r="M635" s="2271" t="s">
        <v>676</v>
      </c>
      <c r="N635" s="2271" t="s">
        <v>676</v>
      </c>
      <c r="O635" s="2272" t="s">
        <v>676</v>
      </c>
      <c r="P635" s="2270" t="s">
        <v>2770</v>
      </c>
      <c r="Q635" s="2270">
        <v>0</v>
      </c>
      <c r="R635" s="2271" t="s">
        <v>676</v>
      </c>
      <c r="S635" s="2271" t="s">
        <v>676</v>
      </c>
      <c r="T635" s="2271" t="s">
        <v>676</v>
      </c>
      <c r="U635" s="2271" t="s">
        <v>676</v>
      </c>
    </row>
    <row r="636" spans="2:21" ht="90">
      <c r="B636" s="2316"/>
      <c r="C636" s="2268">
        <v>14</v>
      </c>
      <c r="D636" s="2882" t="s">
        <v>2948</v>
      </c>
      <c r="E636" s="2905"/>
      <c r="F636" s="2905"/>
      <c r="G636" s="2906"/>
      <c r="H636" s="2882" t="s">
        <v>706</v>
      </c>
      <c r="I636" s="2906"/>
      <c r="J636" s="2882" t="s">
        <v>2762</v>
      </c>
      <c r="K636" s="2906"/>
      <c r="L636" s="2268" t="s">
        <v>2763</v>
      </c>
      <c r="M636" s="2268" t="s">
        <v>2775</v>
      </c>
      <c r="N636" s="2268" t="s">
        <v>2765</v>
      </c>
      <c r="O636" s="2269">
        <v>100000</v>
      </c>
      <c r="P636" s="2270" t="s">
        <v>2766</v>
      </c>
      <c r="Q636" s="2270">
        <v>100000</v>
      </c>
      <c r="R636" s="2268"/>
      <c r="S636" s="2268" t="s">
        <v>2767</v>
      </c>
      <c r="T636" s="2268" t="s">
        <v>2768</v>
      </c>
      <c r="U636" s="2268"/>
    </row>
    <row r="637" spans="2:21" ht="30">
      <c r="B637" s="2316"/>
      <c r="C637" s="2271" t="s">
        <v>676</v>
      </c>
      <c r="D637" s="2888" t="s">
        <v>676</v>
      </c>
      <c r="E637" s="2907"/>
      <c r="F637" s="2907"/>
      <c r="G637" s="2908"/>
      <c r="H637" s="2888" t="s">
        <v>676</v>
      </c>
      <c r="I637" s="2908"/>
      <c r="J637" s="2888" t="s">
        <v>676</v>
      </c>
      <c r="K637" s="2908"/>
      <c r="L637" s="2271" t="s">
        <v>676</v>
      </c>
      <c r="M637" s="2271" t="s">
        <v>676</v>
      </c>
      <c r="N637" s="2271" t="s">
        <v>676</v>
      </c>
      <c r="O637" s="2272" t="s">
        <v>676</v>
      </c>
      <c r="P637" s="2270" t="s">
        <v>2769</v>
      </c>
      <c r="Q637" s="2270">
        <v>0</v>
      </c>
      <c r="R637" s="2271" t="s">
        <v>676</v>
      </c>
      <c r="S637" s="2271" t="s">
        <v>676</v>
      </c>
      <c r="T637" s="2271" t="s">
        <v>676</v>
      </c>
      <c r="U637" s="2271" t="s">
        <v>676</v>
      </c>
    </row>
    <row r="638" spans="2:21" ht="30">
      <c r="B638" s="2316"/>
      <c r="C638" s="2271" t="s">
        <v>676</v>
      </c>
      <c r="D638" s="2891" t="s">
        <v>676</v>
      </c>
      <c r="E638" s="2907"/>
      <c r="F638" s="2907"/>
      <c r="G638" s="2908"/>
      <c r="H638" s="2892" t="s">
        <v>676</v>
      </c>
      <c r="I638" s="2907"/>
      <c r="J638" s="2888" t="s">
        <v>676</v>
      </c>
      <c r="K638" s="2908"/>
      <c r="L638" s="2271" t="s">
        <v>676</v>
      </c>
      <c r="M638" s="2271" t="s">
        <v>676</v>
      </c>
      <c r="N638" s="2271" t="s">
        <v>676</v>
      </c>
      <c r="O638" s="2272" t="s">
        <v>676</v>
      </c>
      <c r="P638" s="2270" t="s">
        <v>2770</v>
      </c>
      <c r="Q638" s="2270">
        <v>0</v>
      </c>
      <c r="R638" s="2271" t="s">
        <v>676</v>
      </c>
      <c r="S638" s="2271" t="s">
        <v>676</v>
      </c>
      <c r="T638" s="2271" t="s">
        <v>676</v>
      </c>
      <c r="U638" s="2271" t="s">
        <v>676</v>
      </c>
    </row>
    <row r="639" spans="2:21" ht="90">
      <c r="B639" s="2316"/>
      <c r="C639" s="2268">
        <v>15</v>
      </c>
      <c r="D639" s="2882" t="s">
        <v>2949</v>
      </c>
      <c r="E639" s="2905"/>
      <c r="F639" s="2905"/>
      <c r="G639" s="2906"/>
      <c r="H639" s="2882" t="s">
        <v>1081</v>
      </c>
      <c r="I639" s="2906"/>
      <c r="J639" s="2882" t="s">
        <v>2762</v>
      </c>
      <c r="K639" s="2906"/>
      <c r="L639" s="2268" t="s">
        <v>2763</v>
      </c>
      <c r="M639" s="2268" t="s">
        <v>2764</v>
      </c>
      <c r="N639" s="2268" t="s">
        <v>2765</v>
      </c>
      <c r="O639" s="2269">
        <v>100000</v>
      </c>
      <c r="P639" s="2270" t="s">
        <v>2766</v>
      </c>
      <c r="Q639" s="2270">
        <v>100000</v>
      </c>
      <c r="R639" s="2268"/>
      <c r="S639" s="2268" t="s">
        <v>2767</v>
      </c>
      <c r="T639" s="2268" t="s">
        <v>2768</v>
      </c>
      <c r="U639" s="2268"/>
    </row>
    <row r="640" spans="2:21" ht="30">
      <c r="B640" s="2316"/>
      <c r="C640" s="2271" t="s">
        <v>676</v>
      </c>
      <c r="D640" s="2888" t="s">
        <v>676</v>
      </c>
      <c r="E640" s="2907"/>
      <c r="F640" s="2907"/>
      <c r="G640" s="2908"/>
      <c r="H640" s="2888" t="s">
        <v>676</v>
      </c>
      <c r="I640" s="2908"/>
      <c r="J640" s="2888" t="s">
        <v>676</v>
      </c>
      <c r="K640" s="2908"/>
      <c r="L640" s="2271" t="s">
        <v>676</v>
      </c>
      <c r="M640" s="2271" t="s">
        <v>676</v>
      </c>
      <c r="N640" s="2271" t="s">
        <v>676</v>
      </c>
      <c r="O640" s="2272" t="s">
        <v>676</v>
      </c>
      <c r="P640" s="2270" t="s">
        <v>2769</v>
      </c>
      <c r="Q640" s="2270">
        <v>0</v>
      </c>
      <c r="R640" s="2271" t="s">
        <v>676</v>
      </c>
      <c r="S640" s="2271" t="s">
        <v>676</v>
      </c>
      <c r="T640" s="2271" t="s">
        <v>676</v>
      </c>
      <c r="U640" s="2271" t="s">
        <v>676</v>
      </c>
    </row>
    <row r="641" spans="2:21" ht="30">
      <c r="B641" s="2316"/>
      <c r="C641" s="2271" t="s">
        <v>676</v>
      </c>
      <c r="D641" s="2891" t="s">
        <v>676</v>
      </c>
      <c r="E641" s="2907"/>
      <c r="F641" s="2907"/>
      <c r="G641" s="2908"/>
      <c r="H641" s="2892" t="s">
        <v>676</v>
      </c>
      <c r="I641" s="2907"/>
      <c r="J641" s="2888" t="s">
        <v>676</v>
      </c>
      <c r="K641" s="2908"/>
      <c r="L641" s="2271" t="s">
        <v>676</v>
      </c>
      <c r="M641" s="2271" t="s">
        <v>676</v>
      </c>
      <c r="N641" s="2271" t="s">
        <v>676</v>
      </c>
      <c r="O641" s="2272" t="s">
        <v>676</v>
      </c>
      <c r="P641" s="2270" t="s">
        <v>2770</v>
      </c>
      <c r="Q641" s="2270">
        <v>0</v>
      </c>
      <c r="R641" s="2271" t="s">
        <v>676</v>
      </c>
      <c r="S641" s="2271" t="s">
        <v>676</v>
      </c>
      <c r="T641" s="2271" t="s">
        <v>676</v>
      </c>
      <c r="U641" s="2271" t="s">
        <v>676</v>
      </c>
    </row>
    <row r="642" spans="2:21" ht="90">
      <c r="B642" s="2316"/>
      <c r="C642" s="2268">
        <v>16</v>
      </c>
      <c r="D642" s="2882" t="s">
        <v>2950</v>
      </c>
      <c r="E642" s="2905"/>
      <c r="F642" s="2905"/>
      <c r="G642" s="2906"/>
      <c r="H642" s="2882" t="s">
        <v>706</v>
      </c>
      <c r="I642" s="2906"/>
      <c r="J642" s="2882" t="s">
        <v>2762</v>
      </c>
      <c r="K642" s="2906"/>
      <c r="L642" s="2268" t="s">
        <v>2763</v>
      </c>
      <c r="M642" s="2268" t="s">
        <v>2775</v>
      </c>
      <c r="N642" s="2268" t="s">
        <v>2765</v>
      </c>
      <c r="O642" s="2269">
        <v>100000</v>
      </c>
      <c r="P642" s="2270" t="s">
        <v>2766</v>
      </c>
      <c r="Q642" s="2270">
        <v>100000</v>
      </c>
      <c r="R642" s="2268"/>
      <c r="S642" s="2268" t="s">
        <v>2767</v>
      </c>
      <c r="T642" s="2268" t="s">
        <v>2768</v>
      </c>
      <c r="U642" s="2268"/>
    </row>
    <row r="643" spans="2:21" ht="30">
      <c r="B643" s="2316"/>
      <c r="C643" s="2271" t="s">
        <v>676</v>
      </c>
      <c r="D643" s="2888" t="s">
        <v>676</v>
      </c>
      <c r="E643" s="2907"/>
      <c r="F643" s="2907"/>
      <c r="G643" s="2908"/>
      <c r="H643" s="2888" t="s">
        <v>676</v>
      </c>
      <c r="I643" s="2908"/>
      <c r="J643" s="2888" t="s">
        <v>676</v>
      </c>
      <c r="K643" s="2908"/>
      <c r="L643" s="2271" t="s">
        <v>676</v>
      </c>
      <c r="M643" s="2271" t="s">
        <v>676</v>
      </c>
      <c r="N643" s="2271" t="s">
        <v>676</v>
      </c>
      <c r="O643" s="2272" t="s">
        <v>676</v>
      </c>
      <c r="P643" s="2270" t="s">
        <v>2769</v>
      </c>
      <c r="Q643" s="2270">
        <v>0</v>
      </c>
      <c r="R643" s="2271" t="s">
        <v>676</v>
      </c>
      <c r="S643" s="2271" t="s">
        <v>676</v>
      </c>
      <c r="T643" s="2271" t="s">
        <v>676</v>
      </c>
      <c r="U643" s="2271" t="s">
        <v>676</v>
      </c>
    </row>
    <row r="644" spans="2:21" ht="30">
      <c r="B644" s="2316"/>
      <c r="C644" s="2271" t="s">
        <v>676</v>
      </c>
      <c r="D644" s="2891" t="s">
        <v>676</v>
      </c>
      <c r="E644" s="2907"/>
      <c r="F644" s="2907"/>
      <c r="G644" s="2908"/>
      <c r="H644" s="2892" t="s">
        <v>676</v>
      </c>
      <c r="I644" s="2907"/>
      <c r="J644" s="2888" t="s">
        <v>676</v>
      </c>
      <c r="K644" s="2908"/>
      <c r="L644" s="2271" t="s">
        <v>676</v>
      </c>
      <c r="M644" s="2271" t="s">
        <v>676</v>
      </c>
      <c r="N644" s="2271" t="s">
        <v>676</v>
      </c>
      <c r="O644" s="2272" t="s">
        <v>676</v>
      </c>
      <c r="P644" s="2270" t="s">
        <v>2770</v>
      </c>
      <c r="Q644" s="2270">
        <v>0</v>
      </c>
      <c r="R644" s="2271" t="s">
        <v>676</v>
      </c>
      <c r="S644" s="2271" t="s">
        <v>676</v>
      </c>
      <c r="T644" s="2271" t="s">
        <v>676</v>
      </c>
      <c r="U644" s="2271" t="s">
        <v>676</v>
      </c>
    </row>
    <row r="645" spans="2:21" ht="90">
      <c r="B645" s="2316"/>
      <c r="C645" s="2268">
        <v>17</v>
      </c>
      <c r="D645" s="2882" t="s">
        <v>2951</v>
      </c>
      <c r="E645" s="2905"/>
      <c r="F645" s="2905"/>
      <c r="G645" s="2906"/>
      <c r="H645" s="2882" t="s">
        <v>2952</v>
      </c>
      <c r="I645" s="2906"/>
      <c r="J645" s="2882" t="s">
        <v>2762</v>
      </c>
      <c r="K645" s="2906"/>
      <c r="L645" s="2268" t="s">
        <v>2763</v>
      </c>
      <c r="M645" s="2268" t="s">
        <v>2764</v>
      </c>
      <c r="N645" s="2268" t="s">
        <v>2765</v>
      </c>
      <c r="O645" s="2269">
        <v>100000</v>
      </c>
      <c r="P645" s="2270" t="s">
        <v>2766</v>
      </c>
      <c r="Q645" s="2270">
        <v>100000</v>
      </c>
      <c r="R645" s="2268"/>
      <c r="S645" s="2268" t="s">
        <v>2767</v>
      </c>
      <c r="T645" s="2268" t="s">
        <v>2768</v>
      </c>
      <c r="U645" s="2268"/>
    </row>
    <row r="646" spans="2:21" ht="30">
      <c r="B646" s="2316"/>
      <c r="C646" s="2271" t="s">
        <v>676</v>
      </c>
      <c r="D646" s="2888" t="s">
        <v>676</v>
      </c>
      <c r="E646" s="2907"/>
      <c r="F646" s="2907"/>
      <c r="G646" s="2908"/>
      <c r="H646" s="2888" t="s">
        <v>676</v>
      </c>
      <c r="I646" s="2908"/>
      <c r="J646" s="2888" t="s">
        <v>676</v>
      </c>
      <c r="K646" s="2908"/>
      <c r="L646" s="2271" t="s">
        <v>676</v>
      </c>
      <c r="M646" s="2271" t="s">
        <v>676</v>
      </c>
      <c r="N646" s="2271" t="s">
        <v>676</v>
      </c>
      <c r="O646" s="2272" t="s">
        <v>676</v>
      </c>
      <c r="P646" s="2270" t="s">
        <v>2769</v>
      </c>
      <c r="Q646" s="2270">
        <v>0</v>
      </c>
      <c r="R646" s="2271" t="s">
        <v>676</v>
      </c>
      <c r="S646" s="2271" t="s">
        <v>676</v>
      </c>
      <c r="T646" s="2271" t="s">
        <v>676</v>
      </c>
      <c r="U646" s="2271" t="s">
        <v>676</v>
      </c>
    </row>
    <row r="647" spans="2:21" ht="30">
      <c r="B647" s="2316"/>
      <c r="C647" s="2271" t="s">
        <v>676</v>
      </c>
      <c r="D647" s="2891" t="s">
        <v>676</v>
      </c>
      <c r="E647" s="2907"/>
      <c r="F647" s="2907"/>
      <c r="G647" s="2908"/>
      <c r="H647" s="2892" t="s">
        <v>676</v>
      </c>
      <c r="I647" s="2907"/>
      <c r="J647" s="2888" t="s">
        <v>676</v>
      </c>
      <c r="K647" s="2908"/>
      <c r="L647" s="2271" t="s">
        <v>676</v>
      </c>
      <c r="M647" s="2271" t="s">
        <v>676</v>
      </c>
      <c r="N647" s="2271" t="s">
        <v>676</v>
      </c>
      <c r="O647" s="2272" t="s">
        <v>676</v>
      </c>
      <c r="P647" s="2270" t="s">
        <v>2770</v>
      </c>
      <c r="Q647" s="2270">
        <v>0</v>
      </c>
      <c r="R647" s="2271" t="s">
        <v>676</v>
      </c>
      <c r="S647" s="2271" t="s">
        <v>676</v>
      </c>
      <c r="T647" s="2271" t="s">
        <v>676</v>
      </c>
      <c r="U647" s="2271" t="s">
        <v>676</v>
      </c>
    </row>
    <row r="648" spans="2:21" ht="90">
      <c r="B648" s="2316"/>
      <c r="C648" s="2268">
        <v>18</v>
      </c>
      <c r="D648" s="2882" t="s">
        <v>2953</v>
      </c>
      <c r="E648" s="2905"/>
      <c r="F648" s="2905"/>
      <c r="G648" s="2906"/>
      <c r="H648" s="2882" t="s">
        <v>1004</v>
      </c>
      <c r="I648" s="2906"/>
      <c r="J648" s="2882" t="s">
        <v>2762</v>
      </c>
      <c r="K648" s="2906"/>
      <c r="L648" s="2268" t="s">
        <v>2763</v>
      </c>
      <c r="M648" s="2268" t="s">
        <v>2764</v>
      </c>
      <c r="N648" s="2268" t="s">
        <v>2765</v>
      </c>
      <c r="O648" s="2269">
        <v>100000</v>
      </c>
      <c r="P648" s="2270" t="s">
        <v>2766</v>
      </c>
      <c r="Q648" s="2270">
        <v>100000</v>
      </c>
      <c r="R648" s="2268"/>
      <c r="S648" s="2268" t="s">
        <v>2767</v>
      </c>
      <c r="T648" s="2268" t="s">
        <v>2768</v>
      </c>
      <c r="U648" s="2268"/>
    </row>
    <row r="649" spans="2:21" ht="30">
      <c r="B649" s="2316"/>
      <c r="C649" s="2271" t="s">
        <v>676</v>
      </c>
      <c r="D649" s="2888" t="s">
        <v>676</v>
      </c>
      <c r="E649" s="2907"/>
      <c r="F649" s="2907"/>
      <c r="G649" s="2908"/>
      <c r="H649" s="2888" t="s">
        <v>676</v>
      </c>
      <c r="I649" s="2908"/>
      <c r="J649" s="2888" t="s">
        <v>676</v>
      </c>
      <c r="K649" s="2908"/>
      <c r="L649" s="2271" t="s">
        <v>676</v>
      </c>
      <c r="M649" s="2271" t="s">
        <v>676</v>
      </c>
      <c r="N649" s="2271" t="s">
        <v>676</v>
      </c>
      <c r="O649" s="2272" t="s">
        <v>676</v>
      </c>
      <c r="P649" s="2270" t="s">
        <v>2769</v>
      </c>
      <c r="Q649" s="2270">
        <v>0</v>
      </c>
      <c r="R649" s="2271" t="s">
        <v>676</v>
      </c>
      <c r="S649" s="2271" t="s">
        <v>676</v>
      </c>
      <c r="T649" s="2271" t="s">
        <v>676</v>
      </c>
      <c r="U649" s="2271" t="s">
        <v>676</v>
      </c>
    </row>
    <row r="650" spans="2:21" ht="30">
      <c r="B650" s="2316"/>
      <c r="C650" s="2271" t="s">
        <v>676</v>
      </c>
      <c r="D650" s="2891" t="s">
        <v>676</v>
      </c>
      <c r="E650" s="2907"/>
      <c r="F650" s="2907"/>
      <c r="G650" s="2908"/>
      <c r="H650" s="2892" t="s">
        <v>676</v>
      </c>
      <c r="I650" s="2907"/>
      <c r="J650" s="2888" t="s">
        <v>676</v>
      </c>
      <c r="K650" s="2908"/>
      <c r="L650" s="2271" t="s">
        <v>676</v>
      </c>
      <c r="M650" s="2271" t="s">
        <v>676</v>
      </c>
      <c r="N650" s="2271" t="s">
        <v>676</v>
      </c>
      <c r="O650" s="2272" t="s">
        <v>676</v>
      </c>
      <c r="P650" s="2270" t="s">
        <v>2770</v>
      </c>
      <c r="Q650" s="2270">
        <v>0</v>
      </c>
      <c r="R650" s="2271" t="s">
        <v>676</v>
      </c>
      <c r="S650" s="2271" t="s">
        <v>676</v>
      </c>
      <c r="T650" s="2271" t="s">
        <v>676</v>
      </c>
      <c r="U650" s="2271" t="s">
        <v>676</v>
      </c>
    </row>
    <row r="651" spans="2:21" ht="60">
      <c r="B651" s="2316"/>
      <c r="C651" s="2268">
        <v>19</v>
      </c>
      <c r="D651" s="2882" t="s">
        <v>2954</v>
      </c>
      <c r="E651" s="2905"/>
      <c r="F651" s="2905"/>
      <c r="G651" s="2906"/>
      <c r="H651" s="2882" t="s">
        <v>2955</v>
      </c>
      <c r="I651" s="2906"/>
      <c r="J651" s="2882" t="s">
        <v>2762</v>
      </c>
      <c r="K651" s="2906"/>
      <c r="L651" s="2268" t="s">
        <v>2763</v>
      </c>
      <c r="M651" s="2268" t="s">
        <v>2764</v>
      </c>
      <c r="N651" s="2268" t="s">
        <v>2776</v>
      </c>
      <c r="O651" s="2269">
        <v>333333.33</v>
      </c>
      <c r="P651" s="2270" t="s">
        <v>2766</v>
      </c>
      <c r="Q651" s="2270">
        <v>333333.33</v>
      </c>
      <c r="R651" s="2268" t="s">
        <v>688</v>
      </c>
      <c r="S651" s="2268" t="s">
        <v>2767</v>
      </c>
      <c r="T651" s="2268" t="s">
        <v>2768</v>
      </c>
      <c r="U651" s="2268"/>
    </row>
    <row r="652" spans="2:21" ht="30">
      <c r="B652" s="2316"/>
      <c r="C652" s="2271" t="s">
        <v>676</v>
      </c>
      <c r="D652" s="2888" t="s">
        <v>676</v>
      </c>
      <c r="E652" s="2907"/>
      <c r="F652" s="2907"/>
      <c r="G652" s="2908"/>
      <c r="H652" s="2888" t="s">
        <v>676</v>
      </c>
      <c r="I652" s="2908"/>
      <c r="J652" s="2888" t="s">
        <v>676</v>
      </c>
      <c r="K652" s="2908"/>
      <c r="L652" s="2271" t="s">
        <v>676</v>
      </c>
      <c r="M652" s="2271" t="s">
        <v>676</v>
      </c>
      <c r="N652" s="2271" t="s">
        <v>676</v>
      </c>
      <c r="O652" s="2272" t="s">
        <v>676</v>
      </c>
      <c r="P652" s="2270" t="s">
        <v>2769</v>
      </c>
      <c r="Q652" s="2270">
        <v>0</v>
      </c>
      <c r="R652" s="2271" t="s">
        <v>676</v>
      </c>
      <c r="S652" s="2271" t="s">
        <v>676</v>
      </c>
      <c r="T652" s="2271" t="s">
        <v>676</v>
      </c>
      <c r="U652" s="2271" t="s">
        <v>676</v>
      </c>
    </row>
    <row r="653" spans="2:21" ht="30">
      <c r="B653" s="2316"/>
      <c r="C653" s="2271" t="s">
        <v>676</v>
      </c>
      <c r="D653" s="2891" t="s">
        <v>676</v>
      </c>
      <c r="E653" s="2907"/>
      <c r="F653" s="2907"/>
      <c r="G653" s="2908"/>
      <c r="H653" s="2892" t="s">
        <v>676</v>
      </c>
      <c r="I653" s="2907"/>
      <c r="J653" s="2888" t="s">
        <v>676</v>
      </c>
      <c r="K653" s="2908"/>
      <c r="L653" s="2271" t="s">
        <v>676</v>
      </c>
      <c r="M653" s="2271" t="s">
        <v>676</v>
      </c>
      <c r="N653" s="2271" t="s">
        <v>676</v>
      </c>
      <c r="O653" s="2272" t="s">
        <v>676</v>
      </c>
      <c r="P653" s="2270" t="s">
        <v>2770</v>
      </c>
      <c r="Q653" s="2270">
        <v>0</v>
      </c>
      <c r="R653" s="2271" t="s">
        <v>676</v>
      </c>
      <c r="S653" s="2271" t="s">
        <v>676</v>
      </c>
      <c r="T653" s="2271" t="s">
        <v>676</v>
      </c>
      <c r="U653" s="2271" t="s">
        <v>676</v>
      </c>
    </row>
    <row r="654" spans="2:21" ht="60">
      <c r="B654" s="2316"/>
      <c r="C654" s="2268">
        <v>20</v>
      </c>
      <c r="D654" s="2882" t="s">
        <v>827</v>
      </c>
      <c r="E654" s="2905"/>
      <c r="F654" s="2905"/>
      <c r="G654" s="2906"/>
      <c r="H654" s="2882" t="s">
        <v>706</v>
      </c>
      <c r="I654" s="2906"/>
      <c r="J654" s="2882" t="s">
        <v>2762</v>
      </c>
      <c r="K654" s="2906"/>
      <c r="L654" s="2268" t="s">
        <v>2763</v>
      </c>
      <c r="M654" s="2268" t="s">
        <v>2775</v>
      </c>
      <c r="N654" s="2268" t="s">
        <v>2776</v>
      </c>
      <c r="O654" s="2269">
        <v>333333.33</v>
      </c>
      <c r="P654" s="2270" t="s">
        <v>2766</v>
      </c>
      <c r="Q654" s="2270">
        <v>333333.33</v>
      </c>
      <c r="R654" s="2268" t="s">
        <v>688</v>
      </c>
      <c r="S654" s="2268" t="s">
        <v>2767</v>
      </c>
      <c r="T654" s="2268" t="s">
        <v>2768</v>
      </c>
      <c r="U654" s="2268"/>
    </row>
    <row r="655" spans="2:21" ht="30">
      <c r="B655" s="2316"/>
      <c r="C655" s="2271" t="s">
        <v>676</v>
      </c>
      <c r="D655" s="2888" t="s">
        <v>676</v>
      </c>
      <c r="E655" s="2907"/>
      <c r="F655" s="2907"/>
      <c r="G655" s="2908"/>
      <c r="H655" s="2888" t="s">
        <v>676</v>
      </c>
      <c r="I655" s="2908"/>
      <c r="J655" s="2888" t="s">
        <v>676</v>
      </c>
      <c r="K655" s="2908"/>
      <c r="L655" s="2271" t="s">
        <v>676</v>
      </c>
      <c r="M655" s="2271" t="s">
        <v>676</v>
      </c>
      <c r="N655" s="2271" t="s">
        <v>676</v>
      </c>
      <c r="O655" s="2272" t="s">
        <v>676</v>
      </c>
      <c r="P655" s="2270" t="s">
        <v>2769</v>
      </c>
      <c r="Q655" s="2270">
        <v>0</v>
      </c>
      <c r="R655" s="2271" t="s">
        <v>676</v>
      </c>
      <c r="S655" s="2271" t="s">
        <v>676</v>
      </c>
      <c r="T655" s="2271" t="s">
        <v>676</v>
      </c>
      <c r="U655" s="2271" t="s">
        <v>676</v>
      </c>
    </row>
    <row r="656" spans="2:21" ht="30">
      <c r="B656" s="2316"/>
      <c r="C656" s="2271" t="s">
        <v>676</v>
      </c>
      <c r="D656" s="2891" t="s">
        <v>676</v>
      </c>
      <c r="E656" s="2907"/>
      <c r="F656" s="2907"/>
      <c r="G656" s="2908"/>
      <c r="H656" s="2892" t="s">
        <v>676</v>
      </c>
      <c r="I656" s="2907"/>
      <c r="J656" s="2888" t="s">
        <v>676</v>
      </c>
      <c r="K656" s="2908"/>
      <c r="L656" s="2271" t="s">
        <v>676</v>
      </c>
      <c r="M656" s="2271" t="s">
        <v>676</v>
      </c>
      <c r="N656" s="2271" t="s">
        <v>676</v>
      </c>
      <c r="O656" s="2272" t="s">
        <v>676</v>
      </c>
      <c r="P656" s="2270" t="s">
        <v>2770</v>
      </c>
      <c r="Q656" s="2270">
        <v>0</v>
      </c>
      <c r="R656" s="2271" t="s">
        <v>676</v>
      </c>
      <c r="S656" s="2271" t="s">
        <v>676</v>
      </c>
      <c r="T656" s="2271" t="s">
        <v>676</v>
      </c>
      <c r="U656" s="2271" t="s">
        <v>676</v>
      </c>
    </row>
    <row r="657" spans="2:21" ht="90">
      <c r="B657" s="2316"/>
      <c r="C657" s="2268">
        <v>21</v>
      </c>
      <c r="D657" s="2882" t="s">
        <v>1441</v>
      </c>
      <c r="E657" s="2905"/>
      <c r="F657" s="2905"/>
      <c r="G657" s="2906"/>
      <c r="H657" s="2882" t="s">
        <v>1081</v>
      </c>
      <c r="I657" s="2906"/>
      <c r="J657" s="2882" t="s">
        <v>2762</v>
      </c>
      <c r="K657" s="2906"/>
      <c r="L657" s="2268" t="s">
        <v>2763</v>
      </c>
      <c r="M657" s="2268" t="s">
        <v>2764</v>
      </c>
      <c r="N657" s="2268" t="s">
        <v>2765</v>
      </c>
      <c r="O657" s="2269">
        <v>100000</v>
      </c>
      <c r="P657" s="2270" t="s">
        <v>2766</v>
      </c>
      <c r="Q657" s="2270">
        <v>100000</v>
      </c>
      <c r="R657" s="2268"/>
      <c r="S657" s="2268" t="s">
        <v>2767</v>
      </c>
      <c r="T657" s="2268" t="s">
        <v>2768</v>
      </c>
      <c r="U657" s="2268"/>
    </row>
    <row r="658" spans="2:21" ht="30">
      <c r="B658" s="2316"/>
      <c r="C658" s="2271" t="s">
        <v>676</v>
      </c>
      <c r="D658" s="2888" t="s">
        <v>676</v>
      </c>
      <c r="E658" s="2907"/>
      <c r="F658" s="2907"/>
      <c r="G658" s="2908"/>
      <c r="H658" s="2888" t="s">
        <v>676</v>
      </c>
      <c r="I658" s="2908"/>
      <c r="J658" s="2888" t="s">
        <v>676</v>
      </c>
      <c r="K658" s="2908"/>
      <c r="L658" s="2271" t="s">
        <v>676</v>
      </c>
      <c r="M658" s="2271" t="s">
        <v>676</v>
      </c>
      <c r="N658" s="2271" t="s">
        <v>676</v>
      </c>
      <c r="O658" s="2272" t="s">
        <v>676</v>
      </c>
      <c r="P658" s="2270" t="s">
        <v>2769</v>
      </c>
      <c r="Q658" s="2270">
        <v>0</v>
      </c>
      <c r="R658" s="2271" t="s">
        <v>676</v>
      </c>
      <c r="S658" s="2271" t="s">
        <v>676</v>
      </c>
      <c r="T658" s="2271" t="s">
        <v>676</v>
      </c>
      <c r="U658" s="2271" t="s">
        <v>676</v>
      </c>
    </row>
    <row r="659" spans="2:21" ht="30">
      <c r="B659" s="2316"/>
      <c r="C659" s="2271" t="s">
        <v>676</v>
      </c>
      <c r="D659" s="2891" t="s">
        <v>676</v>
      </c>
      <c r="E659" s="2907"/>
      <c r="F659" s="2907"/>
      <c r="G659" s="2908"/>
      <c r="H659" s="2892" t="s">
        <v>676</v>
      </c>
      <c r="I659" s="2907"/>
      <c r="J659" s="2888" t="s">
        <v>676</v>
      </c>
      <c r="K659" s="2908"/>
      <c r="L659" s="2271" t="s">
        <v>676</v>
      </c>
      <c r="M659" s="2271" t="s">
        <v>676</v>
      </c>
      <c r="N659" s="2271" t="s">
        <v>676</v>
      </c>
      <c r="O659" s="2272" t="s">
        <v>676</v>
      </c>
      <c r="P659" s="2270" t="s">
        <v>2770</v>
      </c>
      <c r="Q659" s="2270">
        <v>0</v>
      </c>
      <c r="R659" s="2271" t="s">
        <v>676</v>
      </c>
      <c r="S659" s="2271" t="s">
        <v>676</v>
      </c>
      <c r="T659" s="2271" t="s">
        <v>676</v>
      </c>
      <c r="U659" s="2271" t="s">
        <v>676</v>
      </c>
    </row>
    <row r="660" spans="2:21" ht="90">
      <c r="B660" s="2316"/>
      <c r="C660" s="2268">
        <v>22</v>
      </c>
      <c r="D660" s="2882" t="s">
        <v>2956</v>
      </c>
      <c r="E660" s="2905"/>
      <c r="F660" s="2905"/>
      <c r="G660" s="2906"/>
      <c r="H660" s="2882" t="s">
        <v>1081</v>
      </c>
      <c r="I660" s="2906"/>
      <c r="J660" s="2882" t="s">
        <v>2762</v>
      </c>
      <c r="K660" s="2906"/>
      <c r="L660" s="2268" t="s">
        <v>2763</v>
      </c>
      <c r="M660" s="2268" t="s">
        <v>2764</v>
      </c>
      <c r="N660" s="2268" t="s">
        <v>2765</v>
      </c>
      <c r="O660" s="2269">
        <v>100000</v>
      </c>
      <c r="P660" s="2270" t="s">
        <v>2766</v>
      </c>
      <c r="Q660" s="2270">
        <v>100000</v>
      </c>
      <c r="R660" s="2268"/>
      <c r="S660" s="2268" t="s">
        <v>2767</v>
      </c>
      <c r="T660" s="2268" t="s">
        <v>2768</v>
      </c>
      <c r="U660" s="2268"/>
    </row>
    <row r="661" spans="2:21" ht="30">
      <c r="B661" s="2316"/>
      <c r="C661" s="2271" t="s">
        <v>676</v>
      </c>
      <c r="D661" s="2888" t="s">
        <v>676</v>
      </c>
      <c r="E661" s="2907"/>
      <c r="F661" s="2907"/>
      <c r="G661" s="2908"/>
      <c r="H661" s="2888" t="s">
        <v>676</v>
      </c>
      <c r="I661" s="2908"/>
      <c r="J661" s="2888" t="s">
        <v>676</v>
      </c>
      <c r="K661" s="2908"/>
      <c r="L661" s="2271" t="s">
        <v>676</v>
      </c>
      <c r="M661" s="2271" t="s">
        <v>676</v>
      </c>
      <c r="N661" s="2271" t="s">
        <v>676</v>
      </c>
      <c r="O661" s="2272" t="s">
        <v>676</v>
      </c>
      <c r="P661" s="2270" t="s">
        <v>2769</v>
      </c>
      <c r="Q661" s="2270">
        <v>0</v>
      </c>
      <c r="R661" s="2271" t="s">
        <v>676</v>
      </c>
      <c r="S661" s="2271" t="s">
        <v>676</v>
      </c>
      <c r="T661" s="2271" t="s">
        <v>676</v>
      </c>
      <c r="U661" s="2271" t="s">
        <v>676</v>
      </c>
    </row>
    <row r="662" spans="2:21" ht="30">
      <c r="B662" s="2316"/>
      <c r="C662" s="2271" t="s">
        <v>676</v>
      </c>
      <c r="D662" s="2891" t="s">
        <v>676</v>
      </c>
      <c r="E662" s="2907"/>
      <c r="F662" s="2907"/>
      <c r="G662" s="2908"/>
      <c r="H662" s="2892" t="s">
        <v>676</v>
      </c>
      <c r="I662" s="2907"/>
      <c r="J662" s="2888" t="s">
        <v>676</v>
      </c>
      <c r="K662" s="2908"/>
      <c r="L662" s="2271" t="s">
        <v>676</v>
      </c>
      <c r="M662" s="2271" t="s">
        <v>676</v>
      </c>
      <c r="N662" s="2271" t="s">
        <v>676</v>
      </c>
      <c r="O662" s="2272" t="s">
        <v>676</v>
      </c>
      <c r="P662" s="2270" t="s">
        <v>2770</v>
      </c>
      <c r="Q662" s="2270">
        <v>0</v>
      </c>
      <c r="R662" s="2271" t="s">
        <v>676</v>
      </c>
      <c r="S662" s="2271" t="s">
        <v>676</v>
      </c>
      <c r="T662" s="2271" t="s">
        <v>676</v>
      </c>
      <c r="U662" s="2271" t="s">
        <v>676</v>
      </c>
    </row>
    <row r="663" spans="2:21" ht="60">
      <c r="B663" s="2316"/>
      <c r="C663" s="2268">
        <v>23</v>
      </c>
      <c r="D663" s="2882" t="s">
        <v>953</v>
      </c>
      <c r="E663" s="2905"/>
      <c r="F663" s="2905"/>
      <c r="G663" s="2906"/>
      <c r="H663" s="2882" t="s">
        <v>1066</v>
      </c>
      <c r="I663" s="2906"/>
      <c r="J663" s="2882" t="s">
        <v>2762</v>
      </c>
      <c r="K663" s="2906"/>
      <c r="L663" s="2268" t="s">
        <v>2763</v>
      </c>
      <c r="M663" s="2268" t="s">
        <v>2775</v>
      </c>
      <c r="N663" s="2268" t="s">
        <v>2776</v>
      </c>
      <c r="O663" s="2269">
        <v>625000</v>
      </c>
      <c r="P663" s="2270" t="s">
        <v>2766</v>
      </c>
      <c r="Q663" s="2270">
        <v>625000</v>
      </c>
      <c r="R663" s="2268" t="s">
        <v>688</v>
      </c>
      <c r="S663" s="2268" t="s">
        <v>2767</v>
      </c>
      <c r="T663" s="2268" t="s">
        <v>2768</v>
      </c>
      <c r="U663" s="2268"/>
    </row>
    <row r="664" spans="2:21" ht="30">
      <c r="B664" s="2316"/>
      <c r="C664" s="2271" t="s">
        <v>676</v>
      </c>
      <c r="D664" s="2888" t="s">
        <v>676</v>
      </c>
      <c r="E664" s="2907"/>
      <c r="F664" s="2907"/>
      <c r="G664" s="2908"/>
      <c r="H664" s="2888" t="s">
        <v>676</v>
      </c>
      <c r="I664" s="2908"/>
      <c r="J664" s="2888" t="s">
        <v>676</v>
      </c>
      <c r="K664" s="2908"/>
      <c r="L664" s="2271" t="s">
        <v>676</v>
      </c>
      <c r="M664" s="2271" t="s">
        <v>676</v>
      </c>
      <c r="N664" s="2271" t="s">
        <v>676</v>
      </c>
      <c r="O664" s="2272" t="s">
        <v>676</v>
      </c>
      <c r="P664" s="2270" t="s">
        <v>2769</v>
      </c>
      <c r="Q664" s="2270">
        <v>0</v>
      </c>
      <c r="R664" s="2271" t="s">
        <v>676</v>
      </c>
      <c r="S664" s="2271" t="s">
        <v>676</v>
      </c>
      <c r="T664" s="2271" t="s">
        <v>676</v>
      </c>
      <c r="U664" s="2271" t="s">
        <v>676</v>
      </c>
    </row>
    <row r="665" spans="2:21" ht="30">
      <c r="B665" s="2316"/>
      <c r="C665" s="2271" t="s">
        <v>676</v>
      </c>
      <c r="D665" s="2891" t="s">
        <v>676</v>
      </c>
      <c r="E665" s="2907"/>
      <c r="F665" s="2907"/>
      <c r="G665" s="2908"/>
      <c r="H665" s="2892" t="s">
        <v>676</v>
      </c>
      <c r="I665" s="2907"/>
      <c r="J665" s="2888" t="s">
        <v>676</v>
      </c>
      <c r="K665" s="2908"/>
      <c r="L665" s="2271" t="s">
        <v>676</v>
      </c>
      <c r="M665" s="2271" t="s">
        <v>676</v>
      </c>
      <c r="N665" s="2271" t="s">
        <v>676</v>
      </c>
      <c r="O665" s="2272" t="s">
        <v>676</v>
      </c>
      <c r="P665" s="2270" t="s">
        <v>2770</v>
      </c>
      <c r="Q665" s="2270">
        <v>0</v>
      </c>
      <c r="R665" s="2271" t="s">
        <v>676</v>
      </c>
      <c r="S665" s="2271" t="s">
        <v>676</v>
      </c>
      <c r="T665" s="2271" t="s">
        <v>676</v>
      </c>
      <c r="U665" s="2271" t="s">
        <v>676</v>
      </c>
    </row>
    <row r="666" spans="2:21" ht="60">
      <c r="B666" s="2316"/>
      <c r="C666" s="2268">
        <v>24</v>
      </c>
      <c r="D666" s="2882" t="s">
        <v>2957</v>
      </c>
      <c r="E666" s="2905"/>
      <c r="F666" s="2905"/>
      <c r="G666" s="2906"/>
      <c r="H666" s="2882" t="s">
        <v>1289</v>
      </c>
      <c r="I666" s="2906"/>
      <c r="J666" s="2882" t="s">
        <v>2762</v>
      </c>
      <c r="K666" s="2906"/>
      <c r="L666" s="2268" t="s">
        <v>2763</v>
      </c>
      <c r="M666" s="2268" t="s">
        <v>2775</v>
      </c>
      <c r="N666" s="2268" t="s">
        <v>2776</v>
      </c>
      <c r="O666" s="2269">
        <v>166666.66</v>
      </c>
      <c r="P666" s="2270" t="s">
        <v>2766</v>
      </c>
      <c r="Q666" s="2270">
        <v>166666.66</v>
      </c>
      <c r="R666" s="2268" t="s">
        <v>688</v>
      </c>
      <c r="S666" s="2268" t="s">
        <v>2767</v>
      </c>
      <c r="T666" s="2268" t="s">
        <v>2768</v>
      </c>
      <c r="U666" s="2268"/>
    </row>
    <row r="667" spans="2:21" ht="30">
      <c r="B667" s="2316"/>
      <c r="C667" s="2271" t="s">
        <v>676</v>
      </c>
      <c r="D667" s="2888" t="s">
        <v>676</v>
      </c>
      <c r="E667" s="2907"/>
      <c r="F667" s="2907"/>
      <c r="G667" s="2908"/>
      <c r="H667" s="2888" t="s">
        <v>676</v>
      </c>
      <c r="I667" s="2908"/>
      <c r="J667" s="2888" t="s">
        <v>676</v>
      </c>
      <c r="K667" s="2908"/>
      <c r="L667" s="2271" t="s">
        <v>676</v>
      </c>
      <c r="M667" s="2271" t="s">
        <v>676</v>
      </c>
      <c r="N667" s="2271" t="s">
        <v>676</v>
      </c>
      <c r="O667" s="2272" t="s">
        <v>676</v>
      </c>
      <c r="P667" s="2270" t="s">
        <v>2769</v>
      </c>
      <c r="Q667" s="2270">
        <v>0</v>
      </c>
      <c r="R667" s="2271" t="s">
        <v>676</v>
      </c>
      <c r="S667" s="2271" t="s">
        <v>676</v>
      </c>
      <c r="T667" s="2271" t="s">
        <v>676</v>
      </c>
      <c r="U667" s="2271" t="s">
        <v>676</v>
      </c>
    </row>
    <row r="668" spans="2:21" ht="30">
      <c r="B668" s="2316"/>
      <c r="C668" s="2271" t="s">
        <v>676</v>
      </c>
      <c r="D668" s="2891" t="s">
        <v>676</v>
      </c>
      <c r="E668" s="2907"/>
      <c r="F668" s="2907"/>
      <c r="G668" s="2908"/>
      <c r="H668" s="2892" t="s">
        <v>676</v>
      </c>
      <c r="I668" s="2907"/>
      <c r="J668" s="2888" t="s">
        <v>676</v>
      </c>
      <c r="K668" s="2908"/>
      <c r="L668" s="2271" t="s">
        <v>676</v>
      </c>
      <c r="M668" s="2271" t="s">
        <v>676</v>
      </c>
      <c r="N668" s="2271" t="s">
        <v>676</v>
      </c>
      <c r="O668" s="2272" t="s">
        <v>676</v>
      </c>
      <c r="P668" s="2270" t="s">
        <v>2770</v>
      </c>
      <c r="Q668" s="2270">
        <v>0</v>
      </c>
      <c r="R668" s="2271" t="s">
        <v>676</v>
      </c>
      <c r="S668" s="2271" t="s">
        <v>676</v>
      </c>
      <c r="T668" s="2271" t="s">
        <v>676</v>
      </c>
      <c r="U668" s="2271" t="s">
        <v>676</v>
      </c>
    </row>
    <row r="669" spans="2:21" ht="90">
      <c r="B669" s="2316"/>
      <c r="C669" s="2268">
        <v>25</v>
      </c>
      <c r="D669" s="2882" t="s">
        <v>2958</v>
      </c>
      <c r="E669" s="2905"/>
      <c r="F669" s="2905"/>
      <c r="G669" s="2906"/>
      <c r="H669" s="2882" t="s">
        <v>1081</v>
      </c>
      <c r="I669" s="2906"/>
      <c r="J669" s="2882" t="s">
        <v>2762</v>
      </c>
      <c r="K669" s="2906"/>
      <c r="L669" s="2268" t="s">
        <v>2763</v>
      </c>
      <c r="M669" s="2268" t="s">
        <v>2764</v>
      </c>
      <c r="N669" s="2268" t="s">
        <v>2765</v>
      </c>
      <c r="O669" s="2269">
        <v>100000</v>
      </c>
      <c r="P669" s="2270" t="s">
        <v>2766</v>
      </c>
      <c r="Q669" s="2270">
        <v>100000</v>
      </c>
      <c r="R669" s="2268"/>
      <c r="S669" s="2268" t="s">
        <v>2767</v>
      </c>
      <c r="T669" s="2268" t="s">
        <v>2768</v>
      </c>
      <c r="U669" s="2268"/>
    </row>
    <row r="670" spans="2:21" ht="30">
      <c r="B670" s="2316"/>
      <c r="C670" s="2271" t="s">
        <v>676</v>
      </c>
      <c r="D670" s="2888" t="s">
        <v>676</v>
      </c>
      <c r="E670" s="2907"/>
      <c r="F670" s="2907"/>
      <c r="G670" s="2908"/>
      <c r="H670" s="2888" t="s">
        <v>676</v>
      </c>
      <c r="I670" s="2908"/>
      <c r="J670" s="2888" t="s">
        <v>676</v>
      </c>
      <c r="K670" s="2908"/>
      <c r="L670" s="2271" t="s">
        <v>676</v>
      </c>
      <c r="M670" s="2271" t="s">
        <v>676</v>
      </c>
      <c r="N670" s="2271" t="s">
        <v>676</v>
      </c>
      <c r="O670" s="2272" t="s">
        <v>676</v>
      </c>
      <c r="P670" s="2270" t="s">
        <v>2769</v>
      </c>
      <c r="Q670" s="2270">
        <v>0</v>
      </c>
      <c r="R670" s="2271" t="s">
        <v>676</v>
      </c>
      <c r="S670" s="2271" t="s">
        <v>676</v>
      </c>
      <c r="T670" s="2271" t="s">
        <v>676</v>
      </c>
      <c r="U670" s="2271" t="s">
        <v>676</v>
      </c>
    </row>
    <row r="671" spans="2:21" ht="30">
      <c r="B671" s="2316"/>
      <c r="C671" s="2271" t="s">
        <v>676</v>
      </c>
      <c r="D671" s="2891" t="s">
        <v>676</v>
      </c>
      <c r="E671" s="2907"/>
      <c r="F671" s="2907"/>
      <c r="G671" s="2908"/>
      <c r="H671" s="2892" t="s">
        <v>676</v>
      </c>
      <c r="I671" s="2907"/>
      <c r="J671" s="2888" t="s">
        <v>676</v>
      </c>
      <c r="K671" s="2908"/>
      <c r="L671" s="2271" t="s">
        <v>676</v>
      </c>
      <c r="M671" s="2271" t="s">
        <v>676</v>
      </c>
      <c r="N671" s="2271" t="s">
        <v>676</v>
      </c>
      <c r="O671" s="2272" t="s">
        <v>676</v>
      </c>
      <c r="P671" s="2270" t="s">
        <v>2770</v>
      </c>
      <c r="Q671" s="2270">
        <v>0</v>
      </c>
      <c r="R671" s="2271" t="s">
        <v>676</v>
      </c>
      <c r="S671" s="2271" t="s">
        <v>676</v>
      </c>
      <c r="T671" s="2271" t="s">
        <v>676</v>
      </c>
      <c r="U671" s="2271" t="s">
        <v>676</v>
      </c>
    </row>
    <row r="672" spans="2:21" ht="60">
      <c r="B672" s="2316"/>
      <c r="C672" s="2268">
        <v>26</v>
      </c>
      <c r="D672" s="2882" t="s">
        <v>172</v>
      </c>
      <c r="E672" s="2905"/>
      <c r="F672" s="2905"/>
      <c r="G672" s="2906"/>
      <c r="H672" s="2882" t="s">
        <v>706</v>
      </c>
      <c r="I672" s="2906"/>
      <c r="J672" s="2882" t="s">
        <v>2762</v>
      </c>
      <c r="K672" s="2906"/>
      <c r="L672" s="2268" t="s">
        <v>2763</v>
      </c>
      <c r="M672" s="2268" t="s">
        <v>2775</v>
      </c>
      <c r="N672" s="2268" t="s">
        <v>2776</v>
      </c>
      <c r="O672" s="2269">
        <v>250000</v>
      </c>
      <c r="P672" s="2270" t="s">
        <v>2766</v>
      </c>
      <c r="Q672" s="2270">
        <v>250000</v>
      </c>
      <c r="R672" s="2268" t="s">
        <v>688</v>
      </c>
      <c r="S672" s="2268" t="s">
        <v>2767</v>
      </c>
      <c r="T672" s="2268" t="s">
        <v>2768</v>
      </c>
      <c r="U672" s="2268"/>
    </row>
    <row r="673" spans="2:21" ht="30">
      <c r="B673" s="2316"/>
      <c r="C673" s="2271" t="s">
        <v>676</v>
      </c>
      <c r="D673" s="2888" t="s">
        <v>676</v>
      </c>
      <c r="E673" s="2907"/>
      <c r="F673" s="2907"/>
      <c r="G673" s="2908"/>
      <c r="H673" s="2888" t="s">
        <v>676</v>
      </c>
      <c r="I673" s="2908"/>
      <c r="J673" s="2888" t="s">
        <v>676</v>
      </c>
      <c r="K673" s="2908"/>
      <c r="L673" s="2271" t="s">
        <v>676</v>
      </c>
      <c r="M673" s="2271" t="s">
        <v>676</v>
      </c>
      <c r="N673" s="2271" t="s">
        <v>676</v>
      </c>
      <c r="O673" s="2272" t="s">
        <v>676</v>
      </c>
      <c r="P673" s="2270" t="s">
        <v>2769</v>
      </c>
      <c r="Q673" s="2270">
        <v>0</v>
      </c>
      <c r="R673" s="2271" t="s">
        <v>676</v>
      </c>
      <c r="S673" s="2271" t="s">
        <v>676</v>
      </c>
      <c r="T673" s="2271" t="s">
        <v>676</v>
      </c>
      <c r="U673" s="2271" t="s">
        <v>676</v>
      </c>
    </row>
    <row r="674" spans="2:21" ht="30">
      <c r="B674" s="2316"/>
      <c r="C674" s="2271" t="s">
        <v>676</v>
      </c>
      <c r="D674" s="2891" t="s">
        <v>676</v>
      </c>
      <c r="E674" s="2907"/>
      <c r="F674" s="2907"/>
      <c r="G674" s="2908"/>
      <c r="H674" s="2892" t="s">
        <v>676</v>
      </c>
      <c r="I674" s="2907"/>
      <c r="J674" s="2888" t="s">
        <v>676</v>
      </c>
      <c r="K674" s="2908"/>
      <c r="L674" s="2271" t="s">
        <v>676</v>
      </c>
      <c r="M674" s="2271" t="s">
        <v>676</v>
      </c>
      <c r="N674" s="2271" t="s">
        <v>676</v>
      </c>
      <c r="O674" s="2272" t="s">
        <v>676</v>
      </c>
      <c r="P674" s="2270" t="s">
        <v>2770</v>
      </c>
      <c r="Q674" s="2270">
        <v>0</v>
      </c>
      <c r="R674" s="2271" t="s">
        <v>676</v>
      </c>
      <c r="S674" s="2271" t="s">
        <v>676</v>
      </c>
      <c r="T674" s="2271" t="s">
        <v>676</v>
      </c>
      <c r="U674" s="2271" t="s">
        <v>676</v>
      </c>
    </row>
    <row r="675" spans="2:21" ht="90">
      <c r="B675" s="2316"/>
      <c r="C675" s="2268">
        <v>27</v>
      </c>
      <c r="D675" s="2882" t="s">
        <v>2959</v>
      </c>
      <c r="E675" s="2905"/>
      <c r="F675" s="2905"/>
      <c r="G675" s="2906"/>
      <c r="H675" s="2882" t="s">
        <v>706</v>
      </c>
      <c r="I675" s="2906"/>
      <c r="J675" s="2882" t="s">
        <v>2762</v>
      </c>
      <c r="K675" s="2906"/>
      <c r="L675" s="2268" t="s">
        <v>2763</v>
      </c>
      <c r="M675" s="2268" t="s">
        <v>2775</v>
      </c>
      <c r="N675" s="2268" t="s">
        <v>2765</v>
      </c>
      <c r="O675" s="2269">
        <v>100000</v>
      </c>
      <c r="P675" s="2270" t="s">
        <v>2766</v>
      </c>
      <c r="Q675" s="2270">
        <v>100000</v>
      </c>
      <c r="R675" s="2268"/>
      <c r="S675" s="2268" t="s">
        <v>2767</v>
      </c>
      <c r="T675" s="2268" t="s">
        <v>2768</v>
      </c>
      <c r="U675" s="2268"/>
    </row>
    <row r="676" spans="2:21" ht="30">
      <c r="B676" s="2316"/>
      <c r="C676" s="2271" t="s">
        <v>676</v>
      </c>
      <c r="D676" s="2888" t="s">
        <v>676</v>
      </c>
      <c r="E676" s="2907"/>
      <c r="F676" s="2907"/>
      <c r="G676" s="2908"/>
      <c r="H676" s="2888" t="s">
        <v>676</v>
      </c>
      <c r="I676" s="2908"/>
      <c r="J676" s="2888" t="s">
        <v>676</v>
      </c>
      <c r="K676" s="2908"/>
      <c r="L676" s="2271" t="s">
        <v>676</v>
      </c>
      <c r="M676" s="2271" t="s">
        <v>676</v>
      </c>
      <c r="N676" s="2271" t="s">
        <v>676</v>
      </c>
      <c r="O676" s="2272" t="s">
        <v>676</v>
      </c>
      <c r="P676" s="2270" t="s">
        <v>2769</v>
      </c>
      <c r="Q676" s="2270">
        <v>0</v>
      </c>
      <c r="R676" s="2271" t="s">
        <v>676</v>
      </c>
      <c r="S676" s="2271" t="s">
        <v>676</v>
      </c>
      <c r="T676" s="2271" t="s">
        <v>676</v>
      </c>
      <c r="U676" s="2271" t="s">
        <v>676</v>
      </c>
    </row>
    <row r="677" spans="2:21" ht="30">
      <c r="B677" s="2316"/>
      <c r="C677" s="2271" t="s">
        <v>676</v>
      </c>
      <c r="D677" s="2891" t="s">
        <v>676</v>
      </c>
      <c r="E677" s="2907"/>
      <c r="F677" s="2907"/>
      <c r="G677" s="2908"/>
      <c r="H677" s="2892" t="s">
        <v>676</v>
      </c>
      <c r="I677" s="2907"/>
      <c r="J677" s="2888" t="s">
        <v>676</v>
      </c>
      <c r="K677" s="2908"/>
      <c r="L677" s="2271" t="s">
        <v>676</v>
      </c>
      <c r="M677" s="2271" t="s">
        <v>676</v>
      </c>
      <c r="N677" s="2271" t="s">
        <v>676</v>
      </c>
      <c r="O677" s="2272" t="s">
        <v>676</v>
      </c>
      <c r="P677" s="2270" t="s">
        <v>2770</v>
      </c>
      <c r="Q677" s="2270">
        <v>0</v>
      </c>
      <c r="R677" s="2271" t="s">
        <v>676</v>
      </c>
      <c r="S677" s="2271" t="s">
        <v>676</v>
      </c>
      <c r="T677" s="2271" t="s">
        <v>676</v>
      </c>
      <c r="U677" s="2271" t="s">
        <v>676</v>
      </c>
    </row>
    <row r="678" spans="2:21" ht="90">
      <c r="B678" s="2316"/>
      <c r="C678" s="2268">
        <v>28</v>
      </c>
      <c r="D678" s="2882" t="s">
        <v>2960</v>
      </c>
      <c r="E678" s="2905"/>
      <c r="F678" s="2905"/>
      <c r="G678" s="2906"/>
      <c r="H678" s="2882" t="s">
        <v>1004</v>
      </c>
      <c r="I678" s="2906"/>
      <c r="J678" s="2882" t="s">
        <v>2762</v>
      </c>
      <c r="K678" s="2906"/>
      <c r="L678" s="2268" t="s">
        <v>2763</v>
      </c>
      <c r="M678" s="2268" t="s">
        <v>2764</v>
      </c>
      <c r="N678" s="2268" t="s">
        <v>2765</v>
      </c>
      <c r="O678" s="2269">
        <v>100000</v>
      </c>
      <c r="P678" s="2270" t="s">
        <v>2766</v>
      </c>
      <c r="Q678" s="2270">
        <v>100000</v>
      </c>
      <c r="R678" s="2268"/>
      <c r="S678" s="2268" t="s">
        <v>2767</v>
      </c>
      <c r="T678" s="2268" t="s">
        <v>2768</v>
      </c>
      <c r="U678" s="2268"/>
    </row>
    <row r="679" spans="2:21" ht="30">
      <c r="B679" s="2316"/>
      <c r="C679" s="2271" t="s">
        <v>676</v>
      </c>
      <c r="D679" s="2888" t="s">
        <v>676</v>
      </c>
      <c r="E679" s="2907"/>
      <c r="F679" s="2907"/>
      <c r="G679" s="2908"/>
      <c r="H679" s="2888" t="s">
        <v>676</v>
      </c>
      <c r="I679" s="2908"/>
      <c r="J679" s="2888" t="s">
        <v>676</v>
      </c>
      <c r="K679" s="2908"/>
      <c r="L679" s="2271" t="s">
        <v>676</v>
      </c>
      <c r="M679" s="2271" t="s">
        <v>676</v>
      </c>
      <c r="N679" s="2271" t="s">
        <v>676</v>
      </c>
      <c r="O679" s="2272" t="s">
        <v>676</v>
      </c>
      <c r="P679" s="2270" t="s">
        <v>2769</v>
      </c>
      <c r="Q679" s="2270">
        <v>0</v>
      </c>
      <c r="R679" s="2271" t="s">
        <v>676</v>
      </c>
      <c r="S679" s="2271" t="s">
        <v>676</v>
      </c>
      <c r="T679" s="2271" t="s">
        <v>676</v>
      </c>
      <c r="U679" s="2271" t="s">
        <v>676</v>
      </c>
    </row>
    <row r="680" spans="2:21" ht="30">
      <c r="B680" s="2316"/>
      <c r="C680" s="2273" t="s">
        <v>676</v>
      </c>
      <c r="D680" s="2896" t="s">
        <v>676</v>
      </c>
      <c r="E680" s="2897"/>
      <c r="F680" s="2897"/>
      <c r="G680" s="2898"/>
      <c r="H680" s="2899" t="s">
        <v>676</v>
      </c>
      <c r="I680" s="2897"/>
      <c r="J680" s="2900" t="s">
        <v>676</v>
      </c>
      <c r="K680" s="2898"/>
      <c r="L680" s="2273" t="s">
        <v>676</v>
      </c>
      <c r="M680" s="2273" t="s">
        <v>676</v>
      </c>
      <c r="N680" s="2273" t="s">
        <v>676</v>
      </c>
      <c r="O680" s="2274" t="s">
        <v>676</v>
      </c>
      <c r="P680" s="2270" t="s">
        <v>2770</v>
      </c>
      <c r="Q680" s="2270">
        <v>0</v>
      </c>
      <c r="R680" s="2273" t="s">
        <v>676</v>
      </c>
      <c r="S680" s="2273" t="s">
        <v>676</v>
      </c>
      <c r="T680" s="2273" t="s">
        <v>676</v>
      </c>
      <c r="U680" s="2273" t="s">
        <v>676</v>
      </c>
    </row>
    <row r="681" spans="2:21" ht="15">
      <c r="B681" s="2317"/>
      <c r="C681" s="2318"/>
      <c r="D681" s="2319" t="s">
        <v>82</v>
      </c>
      <c r="E681" s="2319"/>
      <c r="F681" s="2319"/>
      <c r="G681" s="2309"/>
      <c r="H681" s="2319"/>
      <c r="I681" s="2320"/>
      <c r="J681" s="2311"/>
      <c r="K681" s="2320" t="e">
        <f>SUM(#REF!)</f>
        <v>#REF!</v>
      </c>
      <c r="L681" s="2321"/>
      <c r="M681" s="2319"/>
      <c r="N681" s="2319"/>
      <c r="O681" s="2322">
        <f>SUM(O597:O680)</f>
        <v>5249999.9800000004</v>
      </c>
      <c r="P681" s="2320"/>
      <c r="Q681" s="2320">
        <f>SUM(Q597:Q680)</f>
        <v>5249999.9800000004</v>
      </c>
      <c r="R681" s="2319"/>
      <c r="S681" s="2319"/>
      <c r="T681" s="2319"/>
      <c r="U681" s="2323"/>
    </row>
    <row r="682" spans="2:21" ht="20.25">
      <c r="B682" s="2324"/>
      <c r="C682" s="2325"/>
      <c r="D682" s="2324"/>
      <c r="E682" s="2324"/>
      <c r="F682" s="2325"/>
      <c r="G682" s="2324"/>
      <c r="H682" s="2324"/>
      <c r="I682" s="2324"/>
      <c r="J682" s="2324"/>
      <c r="K682" s="2326"/>
      <c r="L682" s="2327"/>
      <c r="M682" s="2326"/>
      <c r="N682" s="2326"/>
      <c r="O682" s="2326"/>
      <c r="P682" s="2328" t="s">
        <v>2789</v>
      </c>
      <c r="Q682" s="2326"/>
      <c r="R682" s="2326"/>
      <c r="S682" s="2326"/>
      <c r="T682" s="2326"/>
      <c r="U682" s="2326"/>
    </row>
    <row r="683" spans="2:21" ht="20.25">
      <c r="B683" s="2326"/>
      <c r="C683" s="2326"/>
      <c r="D683" s="2326"/>
      <c r="E683" s="2326"/>
      <c r="F683" s="2326"/>
      <c r="G683" s="2326"/>
      <c r="H683" s="2326"/>
      <c r="I683" s="2326"/>
      <c r="J683" s="2326"/>
      <c r="K683" s="2326"/>
      <c r="L683" s="2327"/>
      <c r="M683" s="2326"/>
      <c r="N683" s="2326"/>
      <c r="O683" s="2326"/>
      <c r="P683" s="2328" t="s">
        <v>2790</v>
      </c>
      <c r="Q683" s="2326"/>
      <c r="R683" s="2326"/>
      <c r="S683" s="2326"/>
      <c r="T683" s="2326"/>
      <c r="U683" s="2326"/>
    </row>
    <row r="684" spans="2:21" ht="20.25">
      <c r="B684" s="2911" t="s">
        <v>2749</v>
      </c>
      <c r="C684" s="2962"/>
      <c r="D684" s="2962"/>
      <c r="E684" s="2962"/>
      <c r="F684" s="2962"/>
      <c r="G684" s="2962"/>
      <c r="H684" s="2962"/>
      <c r="I684" s="1586"/>
      <c r="J684" s="1586"/>
      <c r="K684" s="1586"/>
      <c r="L684" s="1586"/>
      <c r="M684" s="1586"/>
      <c r="N684" s="1586"/>
      <c r="O684" s="2314"/>
      <c r="P684" s="2314"/>
      <c r="Q684" s="2314"/>
      <c r="R684" s="1586"/>
      <c r="S684" s="1586"/>
      <c r="T684" s="1586"/>
      <c r="U684" s="1586"/>
    </row>
    <row r="685" spans="2:21" ht="15">
      <c r="B685" s="1586"/>
      <c r="C685" s="1586"/>
      <c r="D685" s="1586"/>
      <c r="E685" s="1586"/>
      <c r="F685" s="1586"/>
      <c r="G685" s="1586"/>
      <c r="H685" s="1586"/>
      <c r="I685" s="1586"/>
      <c r="J685" s="1586"/>
      <c r="K685" s="1586"/>
      <c r="L685" s="1586"/>
      <c r="M685" s="1586"/>
      <c r="N685" s="1586"/>
      <c r="O685" s="2314"/>
      <c r="P685" s="2314"/>
      <c r="Q685" s="2314"/>
      <c r="R685" s="1586"/>
      <c r="S685" s="1586"/>
      <c r="T685" s="1586"/>
      <c r="U685" s="1586"/>
    </row>
    <row r="686" spans="2:21" ht="15.75">
      <c r="B686" s="2912" t="s">
        <v>653</v>
      </c>
      <c r="C686" s="2912"/>
      <c r="D686" s="2912"/>
      <c r="E686" s="1586"/>
      <c r="F686" s="2315">
        <v>2020</v>
      </c>
      <c r="G686" s="1586"/>
      <c r="H686" s="1586"/>
      <c r="I686" s="1586"/>
      <c r="J686" s="1586"/>
      <c r="K686" s="1586"/>
      <c r="L686" s="1586"/>
      <c r="M686" s="1586"/>
      <c r="N686" s="1586"/>
      <c r="O686" s="2314"/>
      <c r="P686" s="2314"/>
      <c r="Q686" s="2314"/>
      <c r="R686" s="1586"/>
      <c r="S686" s="1586"/>
      <c r="T686" s="1586"/>
      <c r="U686" s="1586"/>
    </row>
    <row r="687" spans="2:21" ht="15">
      <c r="B687" s="1586"/>
      <c r="C687" s="1586"/>
      <c r="D687" s="1586"/>
      <c r="E687" s="1586"/>
      <c r="F687" s="1586"/>
      <c r="G687" s="1586"/>
      <c r="H687" s="1586"/>
      <c r="I687" s="1586"/>
      <c r="J687" s="1586"/>
      <c r="K687" s="1586"/>
      <c r="L687" s="1586"/>
      <c r="M687" s="1586"/>
      <c r="N687" s="1586"/>
      <c r="O687" s="2314"/>
      <c r="P687" s="2314"/>
      <c r="Q687" s="2314"/>
      <c r="R687" s="1586"/>
      <c r="S687" s="1586"/>
      <c r="T687" s="1586"/>
      <c r="U687" s="1586"/>
    </row>
    <row r="688" spans="2:21" ht="15.75">
      <c r="B688" s="2912" t="s">
        <v>655</v>
      </c>
      <c r="C688" s="2912"/>
      <c r="D688" s="2912"/>
      <c r="E688" s="1586"/>
      <c r="F688" s="2913" t="s">
        <v>1521</v>
      </c>
      <c r="G688" s="2913"/>
      <c r="H688" s="2913"/>
      <c r="I688" s="2913"/>
      <c r="J688" s="2913"/>
      <c r="K688" s="1586"/>
      <c r="L688" s="1586"/>
      <c r="M688" s="1586"/>
      <c r="N688" s="1586"/>
      <c r="O688" s="2314"/>
      <c r="P688" s="2314"/>
      <c r="Q688" s="2314"/>
      <c r="R688" s="1586"/>
      <c r="S688" s="1586"/>
      <c r="T688" s="1586"/>
      <c r="U688" s="1586"/>
    </row>
    <row r="689" spans="2:21" ht="15">
      <c r="B689" s="1586"/>
      <c r="C689" s="1586"/>
      <c r="D689" s="1586"/>
      <c r="E689" s="1586"/>
      <c r="F689" s="1586"/>
      <c r="G689" s="1586"/>
      <c r="H689" s="1586"/>
      <c r="I689" s="1586"/>
      <c r="J689" s="1586"/>
      <c r="K689" s="1586"/>
      <c r="L689" s="1586"/>
      <c r="M689" s="1586"/>
      <c r="N689" s="1586"/>
      <c r="O689" s="2314"/>
      <c r="P689" s="2314"/>
      <c r="Q689" s="2314"/>
      <c r="R689" s="1586"/>
      <c r="S689" s="1586"/>
      <c r="T689" s="1586"/>
      <c r="U689" s="1586"/>
    </row>
    <row r="690" spans="2:21" ht="94.5">
      <c r="B690" s="2316"/>
      <c r="C690" s="2266" t="s">
        <v>657</v>
      </c>
      <c r="D690" s="2893" t="s">
        <v>587</v>
      </c>
      <c r="E690" s="2909"/>
      <c r="F690" s="2909"/>
      <c r="G690" s="2910"/>
      <c r="H690" s="2893" t="s">
        <v>2751</v>
      </c>
      <c r="I690" s="2910"/>
      <c r="J690" s="2893" t="s">
        <v>2752</v>
      </c>
      <c r="K690" s="2910"/>
      <c r="L690" s="2266" t="s">
        <v>2753</v>
      </c>
      <c r="M690" s="2266" t="s">
        <v>2754</v>
      </c>
      <c r="N690" s="2266" t="s">
        <v>2755</v>
      </c>
      <c r="O690" s="2267" t="s">
        <v>2756</v>
      </c>
      <c r="P690" s="2267" t="s">
        <v>2757</v>
      </c>
      <c r="Q690" s="2267" t="s">
        <v>2758</v>
      </c>
      <c r="R690" s="2266" t="s">
        <v>623</v>
      </c>
      <c r="S690" s="2266" t="s">
        <v>2759</v>
      </c>
      <c r="T690" s="2266" t="s">
        <v>2760</v>
      </c>
      <c r="U690" s="2266" t="s">
        <v>2761</v>
      </c>
    </row>
    <row r="691" spans="2:21" ht="60">
      <c r="B691" s="2316"/>
      <c r="C691" s="2268">
        <v>1</v>
      </c>
      <c r="D691" s="2882" t="s">
        <v>2961</v>
      </c>
      <c r="E691" s="2905"/>
      <c r="F691" s="2905"/>
      <c r="G691" s="2906"/>
      <c r="H691" s="2882" t="s">
        <v>1746</v>
      </c>
      <c r="I691" s="2906"/>
      <c r="J691" s="2882" t="s">
        <v>2762</v>
      </c>
      <c r="K691" s="2906"/>
      <c r="L691" s="2268" t="s">
        <v>2763</v>
      </c>
      <c r="M691" s="2268" t="s">
        <v>2775</v>
      </c>
      <c r="N691" s="2268" t="s">
        <v>2776</v>
      </c>
      <c r="O691" s="2269">
        <v>350000</v>
      </c>
      <c r="P691" s="2270" t="s">
        <v>2766</v>
      </c>
      <c r="Q691" s="2270">
        <v>350000</v>
      </c>
      <c r="R691" s="2268" t="s">
        <v>688</v>
      </c>
      <c r="S691" s="2268" t="s">
        <v>2767</v>
      </c>
      <c r="T691" s="2268" t="s">
        <v>2768</v>
      </c>
      <c r="U691" s="2268"/>
    </row>
    <row r="692" spans="2:21" ht="30">
      <c r="B692" s="2316"/>
      <c r="C692" s="2271" t="s">
        <v>676</v>
      </c>
      <c r="D692" s="2888" t="s">
        <v>676</v>
      </c>
      <c r="E692" s="2907"/>
      <c r="F692" s="2907"/>
      <c r="G692" s="2908"/>
      <c r="H692" s="2888" t="s">
        <v>676</v>
      </c>
      <c r="I692" s="2908"/>
      <c r="J692" s="2888" t="s">
        <v>676</v>
      </c>
      <c r="K692" s="2908"/>
      <c r="L692" s="2271" t="s">
        <v>676</v>
      </c>
      <c r="M692" s="2271" t="s">
        <v>676</v>
      </c>
      <c r="N692" s="2271" t="s">
        <v>676</v>
      </c>
      <c r="O692" s="2272" t="s">
        <v>676</v>
      </c>
      <c r="P692" s="2270" t="s">
        <v>2769</v>
      </c>
      <c r="Q692" s="2270">
        <v>0</v>
      </c>
      <c r="R692" s="2271" t="s">
        <v>676</v>
      </c>
      <c r="S692" s="2271" t="s">
        <v>676</v>
      </c>
      <c r="T692" s="2271" t="s">
        <v>676</v>
      </c>
      <c r="U692" s="2271" t="s">
        <v>676</v>
      </c>
    </row>
    <row r="693" spans="2:21" ht="30">
      <c r="B693" s="2316"/>
      <c r="C693" s="2271" t="s">
        <v>676</v>
      </c>
      <c r="D693" s="2891" t="s">
        <v>676</v>
      </c>
      <c r="E693" s="2907"/>
      <c r="F693" s="2907"/>
      <c r="G693" s="2908"/>
      <c r="H693" s="2892" t="s">
        <v>676</v>
      </c>
      <c r="I693" s="2907"/>
      <c r="J693" s="2888" t="s">
        <v>676</v>
      </c>
      <c r="K693" s="2908"/>
      <c r="L693" s="2271" t="s">
        <v>676</v>
      </c>
      <c r="M693" s="2271" t="s">
        <v>676</v>
      </c>
      <c r="N693" s="2271" t="s">
        <v>676</v>
      </c>
      <c r="O693" s="2272" t="s">
        <v>676</v>
      </c>
      <c r="P693" s="2270" t="s">
        <v>2770</v>
      </c>
      <c r="Q693" s="2270">
        <v>0</v>
      </c>
      <c r="R693" s="2271" t="s">
        <v>676</v>
      </c>
      <c r="S693" s="2271" t="s">
        <v>676</v>
      </c>
      <c r="T693" s="2271" t="s">
        <v>676</v>
      </c>
      <c r="U693" s="2271" t="s">
        <v>676</v>
      </c>
    </row>
    <row r="694" spans="2:21" ht="90">
      <c r="B694" s="2316"/>
      <c r="C694" s="2268">
        <v>2</v>
      </c>
      <c r="D694" s="2882" t="s">
        <v>2962</v>
      </c>
      <c r="E694" s="2905"/>
      <c r="F694" s="2905"/>
      <c r="G694" s="2906"/>
      <c r="H694" s="2882" t="s">
        <v>2963</v>
      </c>
      <c r="I694" s="2906"/>
      <c r="J694" s="2882" t="s">
        <v>2762</v>
      </c>
      <c r="K694" s="2906"/>
      <c r="L694" s="2268" t="s">
        <v>2763</v>
      </c>
      <c r="M694" s="2268" t="s">
        <v>2764</v>
      </c>
      <c r="N694" s="2268" t="s">
        <v>2765</v>
      </c>
      <c r="O694" s="2269">
        <v>50000</v>
      </c>
      <c r="P694" s="2270" t="s">
        <v>2766</v>
      </c>
      <c r="Q694" s="2270">
        <v>50000</v>
      </c>
      <c r="R694" s="2268"/>
      <c r="S694" s="2268" t="s">
        <v>2767</v>
      </c>
      <c r="T694" s="2268" t="s">
        <v>2768</v>
      </c>
      <c r="U694" s="2268"/>
    </row>
    <row r="695" spans="2:21" ht="30">
      <c r="B695" s="2316"/>
      <c r="C695" s="2271" t="s">
        <v>676</v>
      </c>
      <c r="D695" s="2888" t="s">
        <v>676</v>
      </c>
      <c r="E695" s="2907"/>
      <c r="F695" s="2907"/>
      <c r="G695" s="2908"/>
      <c r="H695" s="2888" t="s">
        <v>676</v>
      </c>
      <c r="I695" s="2908"/>
      <c r="J695" s="2888" t="s">
        <v>676</v>
      </c>
      <c r="K695" s="2908"/>
      <c r="L695" s="2271" t="s">
        <v>676</v>
      </c>
      <c r="M695" s="2271" t="s">
        <v>676</v>
      </c>
      <c r="N695" s="2271" t="s">
        <v>676</v>
      </c>
      <c r="O695" s="2272" t="s">
        <v>676</v>
      </c>
      <c r="P695" s="2270" t="s">
        <v>2769</v>
      </c>
      <c r="Q695" s="2270">
        <v>0</v>
      </c>
      <c r="R695" s="2271" t="s">
        <v>676</v>
      </c>
      <c r="S695" s="2271" t="s">
        <v>676</v>
      </c>
      <c r="T695" s="2271" t="s">
        <v>676</v>
      </c>
      <c r="U695" s="2271" t="s">
        <v>676</v>
      </c>
    </row>
    <row r="696" spans="2:21" ht="30">
      <c r="B696" s="2316"/>
      <c r="C696" s="2271" t="s">
        <v>676</v>
      </c>
      <c r="D696" s="2891" t="s">
        <v>676</v>
      </c>
      <c r="E696" s="2907"/>
      <c r="F696" s="2907"/>
      <c r="G696" s="2908"/>
      <c r="H696" s="2892" t="s">
        <v>676</v>
      </c>
      <c r="I696" s="2907"/>
      <c r="J696" s="2888" t="s">
        <v>676</v>
      </c>
      <c r="K696" s="2908"/>
      <c r="L696" s="2271" t="s">
        <v>676</v>
      </c>
      <c r="M696" s="2271" t="s">
        <v>676</v>
      </c>
      <c r="N696" s="2271" t="s">
        <v>676</v>
      </c>
      <c r="O696" s="2272" t="s">
        <v>676</v>
      </c>
      <c r="P696" s="2270" t="s">
        <v>2770</v>
      </c>
      <c r="Q696" s="2270">
        <v>0</v>
      </c>
      <c r="R696" s="2271" t="s">
        <v>676</v>
      </c>
      <c r="S696" s="2271" t="s">
        <v>676</v>
      </c>
      <c r="T696" s="2271" t="s">
        <v>676</v>
      </c>
      <c r="U696" s="2271" t="s">
        <v>676</v>
      </c>
    </row>
    <row r="697" spans="2:21" ht="60">
      <c r="B697" s="2316"/>
      <c r="C697" s="2268">
        <v>3</v>
      </c>
      <c r="D697" s="2882" t="s">
        <v>1892</v>
      </c>
      <c r="E697" s="2905"/>
      <c r="F697" s="2905"/>
      <c r="G697" s="2906"/>
      <c r="H697" s="2882" t="s">
        <v>1816</v>
      </c>
      <c r="I697" s="2906"/>
      <c r="J697" s="2882" t="s">
        <v>2762</v>
      </c>
      <c r="K697" s="2906"/>
      <c r="L697" s="2268" t="s">
        <v>2763</v>
      </c>
      <c r="M697" s="2268" t="s">
        <v>2775</v>
      </c>
      <c r="N697" s="2268" t="s">
        <v>2776</v>
      </c>
      <c r="O697" s="2269">
        <v>350000</v>
      </c>
      <c r="P697" s="2270" t="s">
        <v>2766</v>
      </c>
      <c r="Q697" s="2270">
        <v>350000</v>
      </c>
      <c r="R697" s="2268" t="s">
        <v>688</v>
      </c>
      <c r="S697" s="2268" t="s">
        <v>2767</v>
      </c>
      <c r="T697" s="2268" t="s">
        <v>2768</v>
      </c>
      <c r="U697" s="2268"/>
    </row>
    <row r="698" spans="2:21" ht="30">
      <c r="B698" s="2316"/>
      <c r="C698" s="2271" t="s">
        <v>676</v>
      </c>
      <c r="D698" s="2888" t="s">
        <v>676</v>
      </c>
      <c r="E698" s="2907"/>
      <c r="F698" s="2907"/>
      <c r="G698" s="2908"/>
      <c r="H698" s="2888" t="s">
        <v>676</v>
      </c>
      <c r="I698" s="2908"/>
      <c r="J698" s="2888" t="s">
        <v>676</v>
      </c>
      <c r="K698" s="2908"/>
      <c r="L698" s="2271" t="s">
        <v>676</v>
      </c>
      <c r="M698" s="2271" t="s">
        <v>676</v>
      </c>
      <c r="N698" s="2271" t="s">
        <v>676</v>
      </c>
      <c r="O698" s="2272" t="s">
        <v>676</v>
      </c>
      <c r="P698" s="2270" t="s">
        <v>2769</v>
      </c>
      <c r="Q698" s="2270">
        <v>0</v>
      </c>
      <c r="R698" s="2271" t="s">
        <v>676</v>
      </c>
      <c r="S698" s="2271" t="s">
        <v>676</v>
      </c>
      <c r="T698" s="2271" t="s">
        <v>676</v>
      </c>
      <c r="U698" s="2271" t="s">
        <v>676</v>
      </c>
    </row>
    <row r="699" spans="2:21" ht="30">
      <c r="B699" s="2316"/>
      <c r="C699" s="2271" t="s">
        <v>676</v>
      </c>
      <c r="D699" s="2891" t="s">
        <v>676</v>
      </c>
      <c r="E699" s="2907"/>
      <c r="F699" s="2907"/>
      <c r="G699" s="2908"/>
      <c r="H699" s="2892" t="s">
        <v>676</v>
      </c>
      <c r="I699" s="2907"/>
      <c r="J699" s="2888" t="s">
        <v>676</v>
      </c>
      <c r="K699" s="2908"/>
      <c r="L699" s="2271" t="s">
        <v>676</v>
      </c>
      <c r="M699" s="2271" t="s">
        <v>676</v>
      </c>
      <c r="N699" s="2271" t="s">
        <v>676</v>
      </c>
      <c r="O699" s="2272" t="s">
        <v>676</v>
      </c>
      <c r="P699" s="2270" t="s">
        <v>2770</v>
      </c>
      <c r="Q699" s="2270">
        <v>0</v>
      </c>
      <c r="R699" s="2271" t="s">
        <v>676</v>
      </c>
      <c r="S699" s="2271" t="s">
        <v>676</v>
      </c>
      <c r="T699" s="2271" t="s">
        <v>676</v>
      </c>
      <c r="U699" s="2271" t="s">
        <v>676</v>
      </c>
    </row>
    <row r="700" spans="2:21" ht="60">
      <c r="B700" s="2316"/>
      <c r="C700" s="2268">
        <v>4</v>
      </c>
      <c r="D700" s="2882" t="s">
        <v>2964</v>
      </c>
      <c r="E700" s="2905"/>
      <c r="F700" s="2905"/>
      <c r="G700" s="2906"/>
      <c r="H700" s="2882" t="s">
        <v>711</v>
      </c>
      <c r="I700" s="2906"/>
      <c r="J700" s="2882" t="s">
        <v>2762</v>
      </c>
      <c r="K700" s="2906"/>
      <c r="L700" s="2268" t="s">
        <v>2763</v>
      </c>
      <c r="M700" s="2268" t="s">
        <v>2965</v>
      </c>
      <c r="N700" s="2268" t="s">
        <v>2776</v>
      </c>
      <c r="O700" s="2269">
        <v>300000</v>
      </c>
      <c r="P700" s="2270" t="s">
        <v>2766</v>
      </c>
      <c r="Q700" s="2270">
        <v>300000</v>
      </c>
      <c r="R700" s="2268" t="s">
        <v>688</v>
      </c>
      <c r="S700" s="2268" t="s">
        <v>2767</v>
      </c>
      <c r="T700" s="2268" t="s">
        <v>2835</v>
      </c>
      <c r="U700" s="2268"/>
    </row>
    <row r="701" spans="2:21" ht="30">
      <c r="B701" s="2316"/>
      <c r="C701" s="2271" t="s">
        <v>676</v>
      </c>
      <c r="D701" s="2888" t="s">
        <v>676</v>
      </c>
      <c r="E701" s="2907"/>
      <c r="F701" s="2907"/>
      <c r="G701" s="2908"/>
      <c r="H701" s="2888" t="s">
        <v>676</v>
      </c>
      <c r="I701" s="2908"/>
      <c r="J701" s="2888" t="s">
        <v>676</v>
      </c>
      <c r="K701" s="2908"/>
      <c r="L701" s="2271" t="s">
        <v>676</v>
      </c>
      <c r="M701" s="2271" t="s">
        <v>676</v>
      </c>
      <c r="N701" s="2271" t="s">
        <v>676</v>
      </c>
      <c r="O701" s="2272" t="s">
        <v>676</v>
      </c>
      <c r="P701" s="2270" t="s">
        <v>2769</v>
      </c>
      <c r="Q701" s="2270">
        <v>0</v>
      </c>
      <c r="R701" s="2271" t="s">
        <v>676</v>
      </c>
      <c r="S701" s="2271" t="s">
        <v>676</v>
      </c>
      <c r="T701" s="2271" t="s">
        <v>676</v>
      </c>
      <c r="U701" s="2271" t="s">
        <v>676</v>
      </c>
    </row>
    <row r="702" spans="2:21" ht="30">
      <c r="B702" s="2316"/>
      <c r="C702" s="2271" t="s">
        <v>676</v>
      </c>
      <c r="D702" s="2891" t="s">
        <v>676</v>
      </c>
      <c r="E702" s="2907"/>
      <c r="F702" s="2907"/>
      <c r="G702" s="2908"/>
      <c r="H702" s="2892" t="s">
        <v>676</v>
      </c>
      <c r="I702" s="2907"/>
      <c r="J702" s="2888" t="s">
        <v>676</v>
      </c>
      <c r="K702" s="2908"/>
      <c r="L702" s="2271" t="s">
        <v>676</v>
      </c>
      <c r="M702" s="2271" t="s">
        <v>676</v>
      </c>
      <c r="N702" s="2271" t="s">
        <v>676</v>
      </c>
      <c r="O702" s="2272" t="s">
        <v>676</v>
      </c>
      <c r="P702" s="2270" t="s">
        <v>2770</v>
      </c>
      <c r="Q702" s="2270">
        <v>0</v>
      </c>
      <c r="R702" s="2271" t="s">
        <v>676</v>
      </c>
      <c r="S702" s="2271" t="s">
        <v>676</v>
      </c>
      <c r="T702" s="2271" t="s">
        <v>676</v>
      </c>
      <c r="U702" s="2271" t="s">
        <v>676</v>
      </c>
    </row>
    <row r="703" spans="2:21" ht="90">
      <c r="B703" s="2316"/>
      <c r="C703" s="2268">
        <v>5</v>
      </c>
      <c r="D703" s="2882" t="s">
        <v>1895</v>
      </c>
      <c r="E703" s="2905"/>
      <c r="F703" s="2905"/>
      <c r="G703" s="2906"/>
      <c r="H703" s="2882" t="s">
        <v>1455</v>
      </c>
      <c r="I703" s="2906"/>
      <c r="J703" s="2882" t="s">
        <v>2762</v>
      </c>
      <c r="K703" s="2906"/>
      <c r="L703" s="2268" t="s">
        <v>2763</v>
      </c>
      <c r="M703" s="2268" t="s">
        <v>2775</v>
      </c>
      <c r="N703" s="2268" t="s">
        <v>2765</v>
      </c>
      <c r="O703" s="2269">
        <v>40000</v>
      </c>
      <c r="P703" s="2270" t="s">
        <v>2766</v>
      </c>
      <c r="Q703" s="2270">
        <v>40000</v>
      </c>
      <c r="R703" s="2268"/>
      <c r="S703" s="2268" t="s">
        <v>2767</v>
      </c>
      <c r="T703" s="2268" t="s">
        <v>2768</v>
      </c>
      <c r="U703" s="2268"/>
    </row>
    <row r="704" spans="2:21" ht="30">
      <c r="B704" s="2316"/>
      <c r="C704" s="2271" t="s">
        <v>676</v>
      </c>
      <c r="D704" s="2888" t="s">
        <v>676</v>
      </c>
      <c r="E704" s="2907"/>
      <c r="F704" s="2907"/>
      <c r="G704" s="2908"/>
      <c r="H704" s="2888" t="s">
        <v>676</v>
      </c>
      <c r="I704" s="2908"/>
      <c r="J704" s="2888" t="s">
        <v>676</v>
      </c>
      <c r="K704" s="2908"/>
      <c r="L704" s="2271" t="s">
        <v>676</v>
      </c>
      <c r="M704" s="2271" t="s">
        <v>676</v>
      </c>
      <c r="N704" s="2271" t="s">
        <v>676</v>
      </c>
      <c r="O704" s="2272" t="s">
        <v>676</v>
      </c>
      <c r="P704" s="2270" t="s">
        <v>2769</v>
      </c>
      <c r="Q704" s="2270">
        <v>0</v>
      </c>
      <c r="R704" s="2271" t="s">
        <v>676</v>
      </c>
      <c r="S704" s="2271" t="s">
        <v>676</v>
      </c>
      <c r="T704" s="2271" t="s">
        <v>676</v>
      </c>
      <c r="U704" s="2271" t="s">
        <v>676</v>
      </c>
    </row>
    <row r="705" spans="2:21" ht="30">
      <c r="B705" s="2316"/>
      <c r="C705" s="2271" t="s">
        <v>676</v>
      </c>
      <c r="D705" s="2891" t="s">
        <v>676</v>
      </c>
      <c r="E705" s="2907"/>
      <c r="F705" s="2907"/>
      <c r="G705" s="2908"/>
      <c r="H705" s="2892" t="s">
        <v>676</v>
      </c>
      <c r="I705" s="2907"/>
      <c r="J705" s="2888" t="s">
        <v>676</v>
      </c>
      <c r="K705" s="2908"/>
      <c r="L705" s="2271" t="s">
        <v>676</v>
      </c>
      <c r="M705" s="2271" t="s">
        <v>676</v>
      </c>
      <c r="N705" s="2271" t="s">
        <v>676</v>
      </c>
      <c r="O705" s="2272" t="s">
        <v>676</v>
      </c>
      <c r="P705" s="2270" t="s">
        <v>2770</v>
      </c>
      <c r="Q705" s="2270">
        <v>0</v>
      </c>
      <c r="R705" s="2271" t="s">
        <v>676</v>
      </c>
      <c r="S705" s="2271" t="s">
        <v>676</v>
      </c>
      <c r="T705" s="2271" t="s">
        <v>676</v>
      </c>
      <c r="U705" s="2271" t="s">
        <v>676</v>
      </c>
    </row>
    <row r="706" spans="2:21" ht="90">
      <c r="B706" s="2316"/>
      <c r="C706" s="2268">
        <v>6</v>
      </c>
      <c r="D706" s="2882" t="s">
        <v>2966</v>
      </c>
      <c r="E706" s="2905"/>
      <c r="F706" s="2905"/>
      <c r="G706" s="2906"/>
      <c r="H706" s="2882" t="s">
        <v>727</v>
      </c>
      <c r="I706" s="2906"/>
      <c r="J706" s="2882" t="s">
        <v>2762</v>
      </c>
      <c r="K706" s="2906"/>
      <c r="L706" s="2268" t="s">
        <v>2763</v>
      </c>
      <c r="M706" s="2268" t="s">
        <v>2764</v>
      </c>
      <c r="N706" s="2268" t="s">
        <v>2765</v>
      </c>
      <c r="O706" s="2269">
        <v>50000</v>
      </c>
      <c r="P706" s="2270" t="s">
        <v>2766</v>
      </c>
      <c r="Q706" s="2270">
        <v>50000</v>
      </c>
      <c r="R706" s="2268"/>
      <c r="S706" s="2268" t="s">
        <v>2767</v>
      </c>
      <c r="T706" s="2268" t="s">
        <v>2768</v>
      </c>
      <c r="U706" s="2268"/>
    </row>
    <row r="707" spans="2:21" ht="30">
      <c r="B707" s="2316"/>
      <c r="C707" s="2271" t="s">
        <v>676</v>
      </c>
      <c r="D707" s="2888" t="s">
        <v>676</v>
      </c>
      <c r="E707" s="2907"/>
      <c r="F707" s="2907"/>
      <c r="G707" s="2908"/>
      <c r="H707" s="2888" t="s">
        <v>676</v>
      </c>
      <c r="I707" s="2908"/>
      <c r="J707" s="2888" t="s">
        <v>676</v>
      </c>
      <c r="K707" s="2908"/>
      <c r="L707" s="2271" t="s">
        <v>676</v>
      </c>
      <c r="M707" s="2271" t="s">
        <v>676</v>
      </c>
      <c r="N707" s="2271" t="s">
        <v>676</v>
      </c>
      <c r="O707" s="2272" t="s">
        <v>676</v>
      </c>
      <c r="P707" s="2270" t="s">
        <v>2769</v>
      </c>
      <c r="Q707" s="2270">
        <v>0</v>
      </c>
      <c r="R707" s="2271" t="s">
        <v>676</v>
      </c>
      <c r="S707" s="2271" t="s">
        <v>676</v>
      </c>
      <c r="T707" s="2271" t="s">
        <v>676</v>
      </c>
      <c r="U707" s="2271" t="s">
        <v>676</v>
      </c>
    </row>
    <row r="708" spans="2:21" ht="30">
      <c r="B708" s="2316"/>
      <c r="C708" s="2271" t="s">
        <v>676</v>
      </c>
      <c r="D708" s="2891" t="s">
        <v>676</v>
      </c>
      <c r="E708" s="2907"/>
      <c r="F708" s="2907"/>
      <c r="G708" s="2908"/>
      <c r="H708" s="2892" t="s">
        <v>676</v>
      </c>
      <c r="I708" s="2907"/>
      <c r="J708" s="2888" t="s">
        <v>676</v>
      </c>
      <c r="K708" s="2908"/>
      <c r="L708" s="2271" t="s">
        <v>676</v>
      </c>
      <c r="M708" s="2271" t="s">
        <v>676</v>
      </c>
      <c r="N708" s="2271" t="s">
        <v>676</v>
      </c>
      <c r="O708" s="2272" t="s">
        <v>676</v>
      </c>
      <c r="P708" s="2270" t="s">
        <v>2770</v>
      </c>
      <c r="Q708" s="2270">
        <v>0</v>
      </c>
      <c r="R708" s="2271" t="s">
        <v>676</v>
      </c>
      <c r="S708" s="2271" t="s">
        <v>676</v>
      </c>
      <c r="T708" s="2271" t="s">
        <v>676</v>
      </c>
      <c r="U708" s="2271" t="s">
        <v>676</v>
      </c>
    </row>
    <row r="709" spans="2:21" ht="60">
      <c r="B709" s="2316"/>
      <c r="C709" s="2268">
        <v>7</v>
      </c>
      <c r="D709" s="2882" t="s">
        <v>2967</v>
      </c>
      <c r="E709" s="2905"/>
      <c r="F709" s="2905"/>
      <c r="G709" s="2906"/>
      <c r="H709" s="2882" t="s">
        <v>796</v>
      </c>
      <c r="I709" s="2906"/>
      <c r="J709" s="2882" t="s">
        <v>2762</v>
      </c>
      <c r="K709" s="2906"/>
      <c r="L709" s="2268" t="s">
        <v>2763</v>
      </c>
      <c r="M709" s="2268" t="s">
        <v>2775</v>
      </c>
      <c r="N709" s="2268" t="s">
        <v>2776</v>
      </c>
      <c r="O709" s="2269">
        <v>150000</v>
      </c>
      <c r="P709" s="2270" t="s">
        <v>2766</v>
      </c>
      <c r="Q709" s="2270">
        <v>150000</v>
      </c>
      <c r="R709" s="2268" t="s">
        <v>688</v>
      </c>
      <c r="S709" s="2268" t="s">
        <v>2767</v>
      </c>
      <c r="T709" s="2268" t="s">
        <v>2768</v>
      </c>
      <c r="U709" s="2268"/>
    </row>
    <row r="710" spans="2:21" ht="30">
      <c r="B710" s="2316"/>
      <c r="C710" s="2271" t="s">
        <v>676</v>
      </c>
      <c r="D710" s="2888" t="s">
        <v>676</v>
      </c>
      <c r="E710" s="2907"/>
      <c r="F710" s="2907"/>
      <c r="G710" s="2908"/>
      <c r="H710" s="2888" t="s">
        <v>676</v>
      </c>
      <c r="I710" s="2908"/>
      <c r="J710" s="2888" t="s">
        <v>676</v>
      </c>
      <c r="K710" s="2908"/>
      <c r="L710" s="2271" t="s">
        <v>676</v>
      </c>
      <c r="M710" s="2271" t="s">
        <v>676</v>
      </c>
      <c r="N710" s="2271" t="s">
        <v>676</v>
      </c>
      <c r="O710" s="2272" t="s">
        <v>676</v>
      </c>
      <c r="P710" s="2270" t="s">
        <v>2769</v>
      </c>
      <c r="Q710" s="2270">
        <v>0</v>
      </c>
      <c r="R710" s="2271" t="s">
        <v>676</v>
      </c>
      <c r="S710" s="2271" t="s">
        <v>676</v>
      </c>
      <c r="T710" s="2271" t="s">
        <v>676</v>
      </c>
      <c r="U710" s="2271" t="s">
        <v>676</v>
      </c>
    </row>
    <row r="711" spans="2:21" ht="30">
      <c r="B711" s="2316"/>
      <c r="C711" s="2271" t="s">
        <v>676</v>
      </c>
      <c r="D711" s="2891" t="s">
        <v>676</v>
      </c>
      <c r="E711" s="2907"/>
      <c r="F711" s="2907"/>
      <c r="G711" s="2908"/>
      <c r="H711" s="2892" t="s">
        <v>676</v>
      </c>
      <c r="I711" s="2907"/>
      <c r="J711" s="2888" t="s">
        <v>676</v>
      </c>
      <c r="K711" s="2908"/>
      <c r="L711" s="2271" t="s">
        <v>676</v>
      </c>
      <c r="M711" s="2271" t="s">
        <v>676</v>
      </c>
      <c r="N711" s="2271" t="s">
        <v>676</v>
      </c>
      <c r="O711" s="2272" t="s">
        <v>676</v>
      </c>
      <c r="P711" s="2270" t="s">
        <v>2770</v>
      </c>
      <c r="Q711" s="2270">
        <v>0</v>
      </c>
      <c r="R711" s="2271" t="s">
        <v>676</v>
      </c>
      <c r="S711" s="2271" t="s">
        <v>676</v>
      </c>
      <c r="T711" s="2271" t="s">
        <v>676</v>
      </c>
      <c r="U711" s="2271" t="s">
        <v>676</v>
      </c>
    </row>
    <row r="712" spans="2:21" ht="60">
      <c r="B712" s="2316"/>
      <c r="C712" s="2268">
        <v>8</v>
      </c>
      <c r="D712" s="2882" t="s">
        <v>2968</v>
      </c>
      <c r="E712" s="2905"/>
      <c r="F712" s="2905"/>
      <c r="G712" s="2906"/>
      <c r="H712" s="2882" t="s">
        <v>855</v>
      </c>
      <c r="I712" s="2906"/>
      <c r="J712" s="2882" t="s">
        <v>2762</v>
      </c>
      <c r="K712" s="2906"/>
      <c r="L712" s="2268" t="s">
        <v>2763</v>
      </c>
      <c r="M712" s="2268" t="s">
        <v>2775</v>
      </c>
      <c r="N712" s="2268" t="s">
        <v>2776</v>
      </c>
      <c r="O712" s="2269">
        <v>250000</v>
      </c>
      <c r="P712" s="2270" t="s">
        <v>2766</v>
      </c>
      <c r="Q712" s="2270">
        <v>250000</v>
      </c>
      <c r="R712" s="2268" t="s">
        <v>688</v>
      </c>
      <c r="S712" s="2268" t="s">
        <v>2767</v>
      </c>
      <c r="T712" s="2268" t="s">
        <v>2768</v>
      </c>
      <c r="U712" s="2268"/>
    </row>
    <row r="713" spans="2:21" ht="30">
      <c r="B713" s="2316"/>
      <c r="C713" s="2271" t="s">
        <v>676</v>
      </c>
      <c r="D713" s="2888" t="s">
        <v>676</v>
      </c>
      <c r="E713" s="2907"/>
      <c r="F713" s="2907"/>
      <c r="G713" s="2908"/>
      <c r="H713" s="2888" t="s">
        <v>676</v>
      </c>
      <c r="I713" s="2908"/>
      <c r="J713" s="2888" t="s">
        <v>676</v>
      </c>
      <c r="K713" s="2908"/>
      <c r="L713" s="2271" t="s">
        <v>676</v>
      </c>
      <c r="M713" s="2271" t="s">
        <v>676</v>
      </c>
      <c r="N713" s="2271" t="s">
        <v>676</v>
      </c>
      <c r="O713" s="2272" t="s">
        <v>676</v>
      </c>
      <c r="P713" s="2270" t="s">
        <v>2769</v>
      </c>
      <c r="Q713" s="2270">
        <v>0</v>
      </c>
      <c r="R713" s="2271" t="s">
        <v>676</v>
      </c>
      <c r="S713" s="2271" t="s">
        <v>676</v>
      </c>
      <c r="T713" s="2271" t="s">
        <v>676</v>
      </c>
      <c r="U713" s="2271" t="s">
        <v>676</v>
      </c>
    </row>
    <row r="714" spans="2:21" ht="30">
      <c r="B714" s="2316"/>
      <c r="C714" s="2271" t="s">
        <v>676</v>
      </c>
      <c r="D714" s="2891" t="s">
        <v>676</v>
      </c>
      <c r="E714" s="2907"/>
      <c r="F714" s="2907"/>
      <c r="G714" s="2908"/>
      <c r="H714" s="2892" t="s">
        <v>676</v>
      </c>
      <c r="I714" s="2907"/>
      <c r="J714" s="2888" t="s">
        <v>676</v>
      </c>
      <c r="K714" s="2908"/>
      <c r="L714" s="2271" t="s">
        <v>676</v>
      </c>
      <c r="M714" s="2271" t="s">
        <v>676</v>
      </c>
      <c r="N714" s="2271" t="s">
        <v>676</v>
      </c>
      <c r="O714" s="2272" t="s">
        <v>676</v>
      </c>
      <c r="P714" s="2270" t="s">
        <v>2770</v>
      </c>
      <c r="Q714" s="2270">
        <v>0</v>
      </c>
      <c r="R714" s="2271" t="s">
        <v>676</v>
      </c>
      <c r="S714" s="2271" t="s">
        <v>676</v>
      </c>
      <c r="T714" s="2271" t="s">
        <v>676</v>
      </c>
      <c r="U714" s="2271" t="s">
        <v>676</v>
      </c>
    </row>
    <row r="715" spans="2:21" ht="90">
      <c r="B715" s="2316"/>
      <c r="C715" s="2268">
        <v>9</v>
      </c>
      <c r="D715" s="2882" t="s">
        <v>2969</v>
      </c>
      <c r="E715" s="2905"/>
      <c r="F715" s="2905"/>
      <c r="G715" s="2906"/>
      <c r="H715" s="2882" t="s">
        <v>2970</v>
      </c>
      <c r="I715" s="2906"/>
      <c r="J715" s="2882" t="s">
        <v>2762</v>
      </c>
      <c r="K715" s="2906"/>
      <c r="L715" s="2268" t="s">
        <v>2763</v>
      </c>
      <c r="M715" s="2268" t="s">
        <v>2764</v>
      </c>
      <c r="N715" s="2268" t="s">
        <v>2765</v>
      </c>
      <c r="O715" s="2269">
        <v>30000</v>
      </c>
      <c r="P715" s="2270" t="s">
        <v>2766</v>
      </c>
      <c r="Q715" s="2270">
        <v>30000</v>
      </c>
      <c r="R715" s="2268"/>
      <c r="S715" s="2268" t="s">
        <v>2767</v>
      </c>
      <c r="T715" s="2268" t="s">
        <v>2835</v>
      </c>
      <c r="U715" s="2268"/>
    </row>
    <row r="716" spans="2:21" ht="30">
      <c r="B716" s="2316"/>
      <c r="C716" s="2271" t="s">
        <v>676</v>
      </c>
      <c r="D716" s="2888" t="s">
        <v>676</v>
      </c>
      <c r="E716" s="2907"/>
      <c r="F716" s="2907"/>
      <c r="G716" s="2908"/>
      <c r="H716" s="2888" t="s">
        <v>676</v>
      </c>
      <c r="I716" s="2908"/>
      <c r="J716" s="2888" t="s">
        <v>676</v>
      </c>
      <c r="K716" s="2908"/>
      <c r="L716" s="2271" t="s">
        <v>676</v>
      </c>
      <c r="M716" s="2271" t="s">
        <v>676</v>
      </c>
      <c r="N716" s="2271" t="s">
        <v>676</v>
      </c>
      <c r="O716" s="2272" t="s">
        <v>676</v>
      </c>
      <c r="P716" s="2270" t="s">
        <v>2769</v>
      </c>
      <c r="Q716" s="2270">
        <v>0</v>
      </c>
      <c r="R716" s="2271" t="s">
        <v>676</v>
      </c>
      <c r="S716" s="2271" t="s">
        <v>676</v>
      </c>
      <c r="T716" s="2271" t="s">
        <v>676</v>
      </c>
      <c r="U716" s="2271" t="s">
        <v>676</v>
      </c>
    </row>
    <row r="717" spans="2:21" ht="30">
      <c r="B717" s="2316"/>
      <c r="C717" s="2271" t="s">
        <v>676</v>
      </c>
      <c r="D717" s="2891" t="s">
        <v>676</v>
      </c>
      <c r="E717" s="2907"/>
      <c r="F717" s="2907"/>
      <c r="G717" s="2908"/>
      <c r="H717" s="2892" t="s">
        <v>676</v>
      </c>
      <c r="I717" s="2907"/>
      <c r="J717" s="2888" t="s">
        <v>676</v>
      </c>
      <c r="K717" s="2908"/>
      <c r="L717" s="2271" t="s">
        <v>676</v>
      </c>
      <c r="M717" s="2271" t="s">
        <v>676</v>
      </c>
      <c r="N717" s="2271" t="s">
        <v>676</v>
      </c>
      <c r="O717" s="2272" t="s">
        <v>676</v>
      </c>
      <c r="P717" s="2270" t="s">
        <v>2770</v>
      </c>
      <c r="Q717" s="2270">
        <v>0</v>
      </c>
      <c r="R717" s="2271" t="s">
        <v>676</v>
      </c>
      <c r="S717" s="2271" t="s">
        <v>676</v>
      </c>
      <c r="T717" s="2271" t="s">
        <v>676</v>
      </c>
      <c r="U717" s="2271" t="s">
        <v>676</v>
      </c>
    </row>
    <row r="718" spans="2:21" ht="90">
      <c r="B718" s="2316"/>
      <c r="C718" s="2268">
        <v>10</v>
      </c>
      <c r="D718" s="2882" t="s">
        <v>2971</v>
      </c>
      <c r="E718" s="2905"/>
      <c r="F718" s="2905"/>
      <c r="G718" s="2906"/>
      <c r="H718" s="2882" t="s">
        <v>1310</v>
      </c>
      <c r="I718" s="2906"/>
      <c r="J718" s="2882" t="s">
        <v>2762</v>
      </c>
      <c r="K718" s="2906"/>
      <c r="L718" s="2268" t="s">
        <v>2763</v>
      </c>
      <c r="M718" s="2268" t="s">
        <v>2764</v>
      </c>
      <c r="N718" s="2268" t="s">
        <v>2765</v>
      </c>
      <c r="O718" s="2269">
        <v>100000</v>
      </c>
      <c r="P718" s="2270" t="s">
        <v>2766</v>
      </c>
      <c r="Q718" s="2270">
        <v>100000</v>
      </c>
      <c r="R718" s="2268"/>
      <c r="S718" s="2268" t="s">
        <v>2767</v>
      </c>
      <c r="T718" s="2268" t="s">
        <v>2768</v>
      </c>
      <c r="U718" s="2268"/>
    </row>
    <row r="719" spans="2:21" ht="30">
      <c r="B719" s="2316"/>
      <c r="C719" s="2271" t="s">
        <v>676</v>
      </c>
      <c r="D719" s="2888" t="s">
        <v>676</v>
      </c>
      <c r="E719" s="2907"/>
      <c r="F719" s="2907"/>
      <c r="G719" s="2908"/>
      <c r="H719" s="2888" t="s">
        <v>676</v>
      </c>
      <c r="I719" s="2908"/>
      <c r="J719" s="2888" t="s">
        <v>676</v>
      </c>
      <c r="K719" s="2908"/>
      <c r="L719" s="2271" t="s">
        <v>676</v>
      </c>
      <c r="M719" s="2271" t="s">
        <v>676</v>
      </c>
      <c r="N719" s="2271" t="s">
        <v>676</v>
      </c>
      <c r="O719" s="2272" t="s">
        <v>676</v>
      </c>
      <c r="P719" s="2270" t="s">
        <v>2769</v>
      </c>
      <c r="Q719" s="2270">
        <v>0</v>
      </c>
      <c r="R719" s="2271" t="s">
        <v>676</v>
      </c>
      <c r="S719" s="2271" t="s">
        <v>676</v>
      </c>
      <c r="T719" s="2271" t="s">
        <v>676</v>
      </c>
      <c r="U719" s="2271" t="s">
        <v>676</v>
      </c>
    </row>
    <row r="720" spans="2:21" ht="30">
      <c r="B720" s="2316"/>
      <c r="C720" s="2271" t="s">
        <v>676</v>
      </c>
      <c r="D720" s="2891" t="s">
        <v>676</v>
      </c>
      <c r="E720" s="2907"/>
      <c r="F720" s="2907"/>
      <c r="G720" s="2908"/>
      <c r="H720" s="2892" t="s">
        <v>676</v>
      </c>
      <c r="I720" s="2907"/>
      <c r="J720" s="2888" t="s">
        <v>676</v>
      </c>
      <c r="K720" s="2908"/>
      <c r="L720" s="2271" t="s">
        <v>676</v>
      </c>
      <c r="M720" s="2271" t="s">
        <v>676</v>
      </c>
      <c r="N720" s="2271" t="s">
        <v>676</v>
      </c>
      <c r="O720" s="2272" t="s">
        <v>676</v>
      </c>
      <c r="P720" s="2270" t="s">
        <v>2770</v>
      </c>
      <c r="Q720" s="2270">
        <v>0</v>
      </c>
      <c r="R720" s="2271" t="s">
        <v>676</v>
      </c>
      <c r="S720" s="2271" t="s">
        <v>676</v>
      </c>
      <c r="T720" s="2271" t="s">
        <v>676</v>
      </c>
      <c r="U720" s="2271" t="s">
        <v>676</v>
      </c>
    </row>
    <row r="721" spans="2:21" ht="90">
      <c r="B721" s="2316"/>
      <c r="C721" s="2268">
        <v>11</v>
      </c>
      <c r="D721" s="2882" t="s">
        <v>2972</v>
      </c>
      <c r="E721" s="2905"/>
      <c r="F721" s="2905"/>
      <c r="G721" s="2906"/>
      <c r="H721" s="2882" t="s">
        <v>1916</v>
      </c>
      <c r="I721" s="2906"/>
      <c r="J721" s="2882" t="s">
        <v>2762</v>
      </c>
      <c r="K721" s="2906"/>
      <c r="L721" s="2268" t="s">
        <v>2763</v>
      </c>
      <c r="M721" s="2268" t="s">
        <v>2764</v>
      </c>
      <c r="N721" s="2268" t="s">
        <v>2765</v>
      </c>
      <c r="O721" s="2269">
        <v>70000</v>
      </c>
      <c r="P721" s="2270" t="s">
        <v>2766</v>
      </c>
      <c r="Q721" s="2270">
        <v>70000</v>
      </c>
      <c r="R721" s="2268"/>
      <c r="S721" s="2268" t="s">
        <v>2767</v>
      </c>
      <c r="T721" s="2268" t="s">
        <v>2768</v>
      </c>
      <c r="U721" s="2268"/>
    </row>
    <row r="722" spans="2:21" ht="30">
      <c r="B722" s="2316"/>
      <c r="C722" s="2271" t="s">
        <v>676</v>
      </c>
      <c r="D722" s="2888" t="s">
        <v>676</v>
      </c>
      <c r="E722" s="2907"/>
      <c r="F722" s="2907"/>
      <c r="G722" s="2908"/>
      <c r="H722" s="2888" t="s">
        <v>676</v>
      </c>
      <c r="I722" s="2908"/>
      <c r="J722" s="2888" t="s">
        <v>676</v>
      </c>
      <c r="K722" s="2908"/>
      <c r="L722" s="2271" t="s">
        <v>676</v>
      </c>
      <c r="M722" s="2271" t="s">
        <v>676</v>
      </c>
      <c r="N722" s="2271" t="s">
        <v>676</v>
      </c>
      <c r="O722" s="2272" t="s">
        <v>676</v>
      </c>
      <c r="P722" s="2270" t="s">
        <v>2769</v>
      </c>
      <c r="Q722" s="2270">
        <v>0</v>
      </c>
      <c r="R722" s="2271" t="s">
        <v>676</v>
      </c>
      <c r="S722" s="2271" t="s">
        <v>676</v>
      </c>
      <c r="T722" s="2271" t="s">
        <v>676</v>
      </c>
      <c r="U722" s="2271" t="s">
        <v>676</v>
      </c>
    </row>
    <row r="723" spans="2:21" ht="30">
      <c r="B723" s="2316"/>
      <c r="C723" s="2271" t="s">
        <v>676</v>
      </c>
      <c r="D723" s="2891" t="s">
        <v>676</v>
      </c>
      <c r="E723" s="2907"/>
      <c r="F723" s="2907"/>
      <c r="G723" s="2908"/>
      <c r="H723" s="2892" t="s">
        <v>676</v>
      </c>
      <c r="I723" s="2907"/>
      <c r="J723" s="2888" t="s">
        <v>676</v>
      </c>
      <c r="K723" s="2908"/>
      <c r="L723" s="2271" t="s">
        <v>676</v>
      </c>
      <c r="M723" s="2271" t="s">
        <v>676</v>
      </c>
      <c r="N723" s="2271" t="s">
        <v>676</v>
      </c>
      <c r="O723" s="2272" t="s">
        <v>676</v>
      </c>
      <c r="P723" s="2270" t="s">
        <v>2770</v>
      </c>
      <c r="Q723" s="2270">
        <v>0</v>
      </c>
      <c r="R723" s="2271" t="s">
        <v>676</v>
      </c>
      <c r="S723" s="2271" t="s">
        <v>676</v>
      </c>
      <c r="T723" s="2271" t="s">
        <v>676</v>
      </c>
      <c r="U723" s="2271" t="s">
        <v>676</v>
      </c>
    </row>
    <row r="724" spans="2:21" ht="60">
      <c r="B724" s="2316"/>
      <c r="C724" s="2268">
        <v>12</v>
      </c>
      <c r="D724" s="2882" t="s">
        <v>1900</v>
      </c>
      <c r="E724" s="2905"/>
      <c r="F724" s="2905"/>
      <c r="G724" s="2906"/>
      <c r="H724" s="2882" t="s">
        <v>1556</v>
      </c>
      <c r="I724" s="2906"/>
      <c r="J724" s="2882" t="s">
        <v>2762</v>
      </c>
      <c r="K724" s="2906"/>
      <c r="L724" s="2268" t="s">
        <v>2763</v>
      </c>
      <c r="M724" s="2268" t="s">
        <v>2775</v>
      </c>
      <c r="N724" s="2268" t="s">
        <v>2776</v>
      </c>
      <c r="O724" s="2269">
        <v>300000</v>
      </c>
      <c r="P724" s="2270" t="s">
        <v>2766</v>
      </c>
      <c r="Q724" s="2270">
        <v>300000</v>
      </c>
      <c r="R724" s="2268" t="s">
        <v>688</v>
      </c>
      <c r="S724" s="2268" t="s">
        <v>2767</v>
      </c>
      <c r="T724" s="2268" t="s">
        <v>2835</v>
      </c>
      <c r="U724" s="2268"/>
    </row>
    <row r="725" spans="2:21" ht="30">
      <c r="B725" s="2316"/>
      <c r="C725" s="2271" t="s">
        <v>676</v>
      </c>
      <c r="D725" s="2888" t="s">
        <v>676</v>
      </c>
      <c r="E725" s="2907"/>
      <c r="F725" s="2907"/>
      <c r="G725" s="2908"/>
      <c r="H725" s="2888" t="s">
        <v>676</v>
      </c>
      <c r="I725" s="2908"/>
      <c r="J725" s="2888" t="s">
        <v>676</v>
      </c>
      <c r="K725" s="2908"/>
      <c r="L725" s="2271" t="s">
        <v>676</v>
      </c>
      <c r="M725" s="2271" t="s">
        <v>676</v>
      </c>
      <c r="N725" s="2271" t="s">
        <v>676</v>
      </c>
      <c r="O725" s="2272" t="s">
        <v>676</v>
      </c>
      <c r="P725" s="2270" t="s">
        <v>2769</v>
      </c>
      <c r="Q725" s="2270">
        <v>0</v>
      </c>
      <c r="R725" s="2271" t="s">
        <v>676</v>
      </c>
      <c r="S725" s="2271" t="s">
        <v>676</v>
      </c>
      <c r="T725" s="2271" t="s">
        <v>676</v>
      </c>
      <c r="U725" s="2271" t="s">
        <v>676</v>
      </c>
    </row>
    <row r="726" spans="2:21" ht="30">
      <c r="B726" s="2316"/>
      <c r="C726" s="2271" t="s">
        <v>676</v>
      </c>
      <c r="D726" s="2891" t="s">
        <v>676</v>
      </c>
      <c r="E726" s="2907"/>
      <c r="F726" s="2907"/>
      <c r="G726" s="2908"/>
      <c r="H726" s="2892" t="s">
        <v>676</v>
      </c>
      <c r="I726" s="2907"/>
      <c r="J726" s="2888" t="s">
        <v>676</v>
      </c>
      <c r="K726" s="2908"/>
      <c r="L726" s="2271" t="s">
        <v>676</v>
      </c>
      <c r="M726" s="2271" t="s">
        <v>676</v>
      </c>
      <c r="N726" s="2271" t="s">
        <v>676</v>
      </c>
      <c r="O726" s="2272" t="s">
        <v>676</v>
      </c>
      <c r="P726" s="2270" t="s">
        <v>2770</v>
      </c>
      <c r="Q726" s="2270">
        <v>0</v>
      </c>
      <c r="R726" s="2271" t="s">
        <v>676</v>
      </c>
      <c r="S726" s="2271" t="s">
        <v>676</v>
      </c>
      <c r="T726" s="2271" t="s">
        <v>676</v>
      </c>
      <c r="U726" s="2271" t="s">
        <v>676</v>
      </c>
    </row>
    <row r="727" spans="2:21" ht="60">
      <c r="B727" s="2316"/>
      <c r="C727" s="2268">
        <v>13</v>
      </c>
      <c r="D727" s="2882" t="s">
        <v>2973</v>
      </c>
      <c r="E727" s="2905"/>
      <c r="F727" s="2905"/>
      <c r="G727" s="2906"/>
      <c r="H727" s="2882" t="s">
        <v>796</v>
      </c>
      <c r="I727" s="2906"/>
      <c r="J727" s="2882" t="s">
        <v>2762</v>
      </c>
      <c r="K727" s="2906"/>
      <c r="L727" s="2268" t="s">
        <v>2763</v>
      </c>
      <c r="M727" s="2268" t="s">
        <v>2775</v>
      </c>
      <c r="N727" s="2268" t="s">
        <v>2776</v>
      </c>
      <c r="O727" s="2269">
        <v>150000</v>
      </c>
      <c r="P727" s="2270" t="s">
        <v>2766</v>
      </c>
      <c r="Q727" s="2270">
        <v>150000</v>
      </c>
      <c r="R727" s="2268" t="s">
        <v>688</v>
      </c>
      <c r="S727" s="2268" t="s">
        <v>2767</v>
      </c>
      <c r="T727" s="2268" t="s">
        <v>2768</v>
      </c>
      <c r="U727" s="2268"/>
    </row>
    <row r="728" spans="2:21" ht="30">
      <c r="B728" s="2316"/>
      <c r="C728" s="2271" t="s">
        <v>676</v>
      </c>
      <c r="D728" s="2888" t="s">
        <v>676</v>
      </c>
      <c r="E728" s="2907"/>
      <c r="F728" s="2907"/>
      <c r="G728" s="2908"/>
      <c r="H728" s="2888" t="s">
        <v>676</v>
      </c>
      <c r="I728" s="2908"/>
      <c r="J728" s="2888" t="s">
        <v>676</v>
      </c>
      <c r="K728" s="2908"/>
      <c r="L728" s="2271" t="s">
        <v>676</v>
      </c>
      <c r="M728" s="2271" t="s">
        <v>676</v>
      </c>
      <c r="N728" s="2271" t="s">
        <v>676</v>
      </c>
      <c r="O728" s="2272" t="s">
        <v>676</v>
      </c>
      <c r="P728" s="2270" t="s">
        <v>2769</v>
      </c>
      <c r="Q728" s="2270">
        <v>0</v>
      </c>
      <c r="R728" s="2271" t="s">
        <v>676</v>
      </c>
      <c r="S728" s="2271" t="s">
        <v>676</v>
      </c>
      <c r="T728" s="2271" t="s">
        <v>676</v>
      </c>
      <c r="U728" s="2271" t="s">
        <v>676</v>
      </c>
    </row>
    <row r="729" spans="2:21" ht="30">
      <c r="B729" s="2316"/>
      <c r="C729" s="2271" t="s">
        <v>676</v>
      </c>
      <c r="D729" s="2891" t="s">
        <v>676</v>
      </c>
      <c r="E729" s="2907"/>
      <c r="F729" s="2907"/>
      <c r="G729" s="2908"/>
      <c r="H729" s="2892" t="s">
        <v>676</v>
      </c>
      <c r="I729" s="2907"/>
      <c r="J729" s="2888" t="s">
        <v>676</v>
      </c>
      <c r="K729" s="2908"/>
      <c r="L729" s="2271" t="s">
        <v>676</v>
      </c>
      <c r="M729" s="2271" t="s">
        <v>676</v>
      </c>
      <c r="N729" s="2271" t="s">
        <v>676</v>
      </c>
      <c r="O729" s="2272" t="s">
        <v>676</v>
      </c>
      <c r="P729" s="2270" t="s">
        <v>2770</v>
      </c>
      <c r="Q729" s="2270">
        <v>0</v>
      </c>
      <c r="R729" s="2271" t="s">
        <v>676</v>
      </c>
      <c r="S729" s="2271" t="s">
        <v>676</v>
      </c>
      <c r="T729" s="2271" t="s">
        <v>676</v>
      </c>
      <c r="U729" s="2271" t="s">
        <v>676</v>
      </c>
    </row>
    <row r="730" spans="2:21" ht="90">
      <c r="B730" s="2316"/>
      <c r="C730" s="2268">
        <v>14</v>
      </c>
      <c r="D730" s="2882" t="s">
        <v>2974</v>
      </c>
      <c r="E730" s="2905"/>
      <c r="F730" s="2905"/>
      <c r="G730" s="2906"/>
      <c r="H730" s="2882" t="s">
        <v>2975</v>
      </c>
      <c r="I730" s="2906"/>
      <c r="J730" s="2882" t="s">
        <v>2762</v>
      </c>
      <c r="K730" s="2906"/>
      <c r="L730" s="2268" t="s">
        <v>2763</v>
      </c>
      <c r="M730" s="2268" t="s">
        <v>2775</v>
      </c>
      <c r="N730" s="2268" t="s">
        <v>2765</v>
      </c>
      <c r="O730" s="2269">
        <v>100000</v>
      </c>
      <c r="P730" s="2270" t="s">
        <v>2766</v>
      </c>
      <c r="Q730" s="2270">
        <v>100000</v>
      </c>
      <c r="R730" s="2268"/>
      <c r="S730" s="2268" t="s">
        <v>2767</v>
      </c>
      <c r="T730" s="2268" t="s">
        <v>2768</v>
      </c>
      <c r="U730" s="2268"/>
    </row>
    <row r="731" spans="2:21" ht="30">
      <c r="B731" s="2316"/>
      <c r="C731" s="2271" t="s">
        <v>676</v>
      </c>
      <c r="D731" s="2888" t="s">
        <v>676</v>
      </c>
      <c r="E731" s="2907"/>
      <c r="F731" s="2907"/>
      <c r="G731" s="2908"/>
      <c r="H731" s="2888" t="s">
        <v>676</v>
      </c>
      <c r="I731" s="2908"/>
      <c r="J731" s="2888" t="s">
        <v>676</v>
      </c>
      <c r="K731" s="2908"/>
      <c r="L731" s="2271" t="s">
        <v>676</v>
      </c>
      <c r="M731" s="2271" t="s">
        <v>676</v>
      </c>
      <c r="N731" s="2271" t="s">
        <v>676</v>
      </c>
      <c r="O731" s="2272" t="s">
        <v>676</v>
      </c>
      <c r="P731" s="2270" t="s">
        <v>2769</v>
      </c>
      <c r="Q731" s="2270">
        <v>0</v>
      </c>
      <c r="R731" s="2271" t="s">
        <v>676</v>
      </c>
      <c r="S731" s="2271" t="s">
        <v>676</v>
      </c>
      <c r="T731" s="2271" t="s">
        <v>676</v>
      </c>
      <c r="U731" s="2271" t="s">
        <v>676</v>
      </c>
    </row>
    <row r="732" spans="2:21" ht="30">
      <c r="B732" s="2316"/>
      <c r="C732" s="2273" t="s">
        <v>676</v>
      </c>
      <c r="D732" s="2896" t="s">
        <v>676</v>
      </c>
      <c r="E732" s="2897"/>
      <c r="F732" s="2897"/>
      <c r="G732" s="2898"/>
      <c r="H732" s="2899" t="s">
        <v>676</v>
      </c>
      <c r="I732" s="2897"/>
      <c r="J732" s="2900" t="s">
        <v>676</v>
      </c>
      <c r="K732" s="2898"/>
      <c r="L732" s="2273" t="s">
        <v>676</v>
      </c>
      <c r="M732" s="2273" t="s">
        <v>676</v>
      </c>
      <c r="N732" s="2273" t="s">
        <v>676</v>
      </c>
      <c r="O732" s="2274" t="s">
        <v>676</v>
      </c>
      <c r="P732" s="2270" t="s">
        <v>2770</v>
      </c>
      <c r="Q732" s="2270">
        <v>0</v>
      </c>
      <c r="R732" s="2273" t="s">
        <v>676</v>
      </c>
      <c r="S732" s="2273" t="s">
        <v>676</v>
      </c>
      <c r="T732" s="2273" t="s">
        <v>676</v>
      </c>
      <c r="U732" s="2273" t="s">
        <v>676</v>
      </c>
    </row>
    <row r="733" spans="2:21" ht="30">
      <c r="B733" s="1437"/>
      <c r="C733" s="2329" t="s">
        <v>82</v>
      </c>
      <c r="D733" s="2321"/>
      <c r="E733" s="2321"/>
      <c r="F733" s="2319"/>
      <c r="G733" s="2319"/>
      <c r="H733" s="2319"/>
      <c r="I733" s="2320"/>
      <c r="J733" s="2320"/>
      <c r="K733" s="2320"/>
      <c r="L733" s="2321"/>
      <c r="M733" s="2319"/>
      <c r="N733" s="2319"/>
      <c r="O733" s="2322">
        <f>SUM(O691:O732)</f>
        <v>2290000</v>
      </c>
      <c r="P733" s="2322"/>
      <c r="Q733" s="2322">
        <f>SUM(Q691:Q732)</f>
        <v>2290000</v>
      </c>
      <c r="R733" s="2319"/>
      <c r="S733" s="2319"/>
      <c r="T733" s="2319"/>
      <c r="U733" s="2323"/>
    </row>
    <row r="734" spans="2:21" ht="20.25">
      <c r="B734" s="2324"/>
      <c r="C734" s="2325"/>
      <c r="D734" s="2324"/>
      <c r="E734" s="2324"/>
      <c r="F734" s="2325"/>
      <c r="G734" s="2324"/>
      <c r="H734" s="2324"/>
      <c r="I734" s="2324"/>
      <c r="J734" s="2324"/>
      <c r="K734" s="2326"/>
      <c r="L734" s="2327"/>
      <c r="M734" s="2326"/>
      <c r="N734" s="2326"/>
      <c r="O734" s="2326"/>
      <c r="P734" s="2328" t="s">
        <v>2789</v>
      </c>
      <c r="Q734" s="2326"/>
      <c r="R734" s="2326"/>
      <c r="S734" s="2326"/>
      <c r="T734" s="2326"/>
      <c r="U734" s="2326"/>
    </row>
    <row r="735" spans="2:21" ht="20.25">
      <c r="B735" s="2326"/>
      <c r="C735" s="2326"/>
      <c r="D735" s="2326"/>
      <c r="E735" s="2326"/>
      <c r="F735" s="2326"/>
      <c r="G735" s="2326"/>
      <c r="H735" s="2326"/>
      <c r="I735" s="2326"/>
      <c r="J735" s="2326"/>
      <c r="K735" s="2326"/>
      <c r="L735" s="2327"/>
      <c r="M735" s="2326"/>
      <c r="N735" s="2326"/>
      <c r="O735" s="2326"/>
      <c r="P735" s="2328" t="s">
        <v>2790</v>
      </c>
      <c r="Q735" s="2326"/>
      <c r="R735" s="2326"/>
      <c r="S735" s="2326"/>
      <c r="T735" s="2326"/>
      <c r="U735" s="2326"/>
    </row>
    <row r="736" spans="2:21" ht="20.25">
      <c r="B736" s="2911" t="s">
        <v>2749</v>
      </c>
      <c r="C736" s="2962"/>
      <c r="D736" s="2962"/>
      <c r="E736" s="2962"/>
      <c r="F736" s="2962"/>
      <c r="G736" s="2962"/>
      <c r="H736" s="2962"/>
      <c r="I736" s="1586"/>
      <c r="J736" s="1586"/>
      <c r="K736" s="1586"/>
      <c r="L736" s="1586"/>
      <c r="M736" s="1586"/>
      <c r="N736" s="1586"/>
      <c r="O736" s="2314"/>
      <c r="P736" s="2314"/>
      <c r="Q736" s="2314"/>
      <c r="R736" s="1586"/>
      <c r="S736" s="1586"/>
      <c r="T736" s="1586"/>
      <c r="U736" s="1586"/>
    </row>
    <row r="737" spans="2:21" ht="15">
      <c r="B737" s="2912" t="s">
        <v>653</v>
      </c>
      <c r="C737" s="2914"/>
      <c r="D737" s="2914"/>
      <c r="E737" s="1586"/>
      <c r="F737" s="2315">
        <v>2020</v>
      </c>
      <c r="G737" s="1586"/>
      <c r="H737" s="1586"/>
      <c r="I737" s="1586"/>
      <c r="J737" s="1586"/>
      <c r="K737" s="1586"/>
      <c r="L737" s="1586"/>
      <c r="M737" s="1586"/>
      <c r="N737" s="1586"/>
      <c r="O737" s="2314"/>
      <c r="P737" s="2314"/>
      <c r="Q737" s="2314"/>
      <c r="R737" s="1586"/>
      <c r="S737" s="1586"/>
      <c r="T737" s="1586"/>
      <c r="U737" s="1586"/>
    </row>
    <row r="738" spans="2:21" ht="15">
      <c r="B738" s="2912" t="s">
        <v>655</v>
      </c>
      <c r="C738" s="2914"/>
      <c r="D738" s="2914"/>
      <c r="E738" s="1586"/>
      <c r="F738" s="2913" t="s">
        <v>1639</v>
      </c>
      <c r="G738" s="2914"/>
      <c r="H738" s="2914"/>
      <c r="I738" s="2914"/>
      <c r="J738" s="2914"/>
      <c r="K738" s="1586"/>
      <c r="L738" s="1586"/>
      <c r="M738" s="1586"/>
      <c r="N738" s="1586"/>
      <c r="O738" s="2314"/>
      <c r="P738" s="2314"/>
      <c r="Q738" s="2314"/>
      <c r="R738" s="1586"/>
      <c r="S738" s="1586"/>
      <c r="T738" s="1586"/>
      <c r="U738" s="1586"/>
    </row>
    <row r="739" spans="2:21" ht="94.5">
      <c r="B739" s="2316"/>
      <c r="C739" s="2266" t="s">
        <v>657</v>
      </c>
      <c r="D739" s="2893" t="s">
        <v>587</v>
      </c>
      <c r="E739" s="2909"/>
      <c r="F739" s="2909"/>
      <c r="G739" s="2910"/>
      <c r="H739" s="2893" t="s">
        <v>2751</v>
      </c>
      <c r="I739" s="2910"/>
      <c r="J739" s="2893" t="s">
        <v>2752</v>
      </c>
      <c r="K739" s="2910"/>
      <c r="L739" s="2266" t="s">
        <v>2753</v>
      </c>
      <c r="M739" s="2266" t="s">
        <v>2754</v>
      </c>
      <c r="N739" s="2266" t="s">
        <v>2755</v>
      </c>
      <c r="O739" s="2267" t="s">
        <v>2756</v>
      </c>
      <c r="P739" s="2267" t="s">
        <v>2757</v>
      </c>
      <c r="Q739" s="2267" t="s">
        <v>2758</v>
      </c>
      <c r="R739" s="2266" t="s">
        <v>623</v>
      </c>
      <c r="S739" s="2266" t="s">
        <v>2759</v>
      </c>
      <c r="T739" s="2266" t="s">
        <v>2760</v>
      </c>
      <c r="U739" s="2266" t="s">
        <v>2761</v>
      </c>
    </row>
    <row r="740" spans="2:21" ht="90">
      <c r="B740" s="2316"/>
      <c r="C740" s="2268">
        <v>1</v>
      </c>
      <c r="D740" s="2882" t="s">
        <v>2976</v>
      </c>
      <c r="E740" s="2905"/>
      <c r="F740" s="2905"/>
      <c r="G740" s="2906"/>
      <c r="H740" s="2882" t="s">
        <v>2977</v>
      </c>
      <c r="I740" s="2906"/>
      <c r="J740" s="2882" t="s">
        <v>2762</v>
      </c>
      <c r="K740" s="2906"/>
      <c r="L740" s="2268" t="s">
        <v>2763</v>
      </c>
      <c r="M740" s="2268" t="s">
        <v>2775</v>
      </c>
      <c r="N740" s="2268" t="s">
        <v>2765</v>
      </c>
      <c r="O740" s="2269">
        <v>100000</v>
      </c>
      <c r="P740" s="2270" t="s">
        <v>2766</v>
      </c>
      <c r="Q740" s="2270">
        <v>100000</v>
      </c>
      <c r="R740" s="2268"/>
      <c r="S740" s="2268" t="s">
        <v>2767</v>
      </c>
      <c r="T740" s="2268" t="s">
        <v>2768</v>
      </c>
      <c r="U740" s="2268"/>
    </row>
    <row r="741" spans="2:21" ht="30">
      <c r="B741" s="2316"/>
      <c r="C741" s="2271" t="s">
        <v>676</v>
      </c>
      <c r="D741" s="2888" t="s">
        <v>676</v>
      </c>
      <c r="E741" s="2907"/>
      <c r="F741" s="2907"/>
      <c r="G741" s="2908"/>
      <c r="H741" s="2888" t="s">
        <v>676</v>
      </c>
      <c r="I741" s="2908"/>
      <c r="J741" s="2888" t="s">
        <v>676</v>
      </c>
      <c r="K741" s="2908"/>
      <c r="L741" s="2271" t="s">
        <v>676</v>
      </c>
      <c r="M741" s="2271" t="s">
        <v>676</v>
      </c>
      <c r="N741" s="2271" t="s">
        <v>676</v>
      </c>
      <c r="O741" s="2272" t="s">
        <v>676</v>
      </c>
      <c r="P741" s="2270" t="s">
        <v>2769</v>
      </c>
      <c r="Q741" s="2270">
        <v>0</v>
      </c>
      <c r="R741" s="2271" t="s">
        <v>676</v>
      </c>
      <c r="S741" s="2271" t="s">
        <v>676</v>
      </c>
      <c r="T741" s="2271" t="s">
        <v>676</v>
      </c>
      <c r="U741" s="2271" t="s">
        <v>676</v>
      </c>
    </row>
    <row r="742" spans="2:21" ht="30">
      <c r="B742" s="2316"/>
      <c r="C742" s="2271" t="s">
        <v>676</v>
      </c>
      <c r="D742" s="2891" t="s">
        <v>676</v>
      </c>
      <c r="E742" s="2907"/>
      <c r="F742" s="2907"/>
      <c r="G742" s="2908"/>
      <c r="H742" s="2892" t="s">
        <v>676</v>
      </c>
      <c r="I742" s="2907"/>
      <c r="J742" s="2888" t="s">
        <v>676</v>
      </c>
      <c r="K742" s="2908"/>
      <c r="L742" s="2271" t="s">
        <v>676</v>
      </c>
      <c r="M742" s="2271" t="s">
        <v>676</v>
      </c>
      <c r="N742" s="2271" t="s">
        <v>676</v>
      </c>
      <c r="O742" s="2272" t="s">
        <v>676</v>
      </c>
      <c r="P742" s="2270" t="s">
        <v>2770</v>
      </c>
      <c r="Q742" s="2270">
        <v>0</v>
      </c>
      <c r="R742" s="2271" t="s">
        <v>676</v>
      </c>
      <c r="S742" s="2271" t="s">
        <v>676</v>
      </c>
      <c r="T742" s="2271" t="s">
        <v>676</v>
      </c>
      <c r="U742" s="2271" t="s">
        <v>676</v>
      </c>
    </row>
    <row r="743" spans="2:21" ht="90">
      <c r="B743" s="2316"/>
      <c r="C743" s="2268">
        <v>2</v>
      </c>
      <c r="D743" s="2882" t="s">
        <v>2978</v>
      </c>
      <c r="E743" s="2905"/>
      <c r="F743" s="2905"/>
      <c r="G743" s="2906"/>
      <c r="H743" s="2882" t="s">
        <v>2979</v>
      </c>
      <c r="I743" s="2906"/>
      <c r="J743" s="2882" t="s">
        <v>2762</v>
      </c>
      <c r="K743" s="2906"/>
      <c r="L743" s="2268" t="s">
        <v>2763</v>
      </c>
      <c r="M743" s="2268" t="s">
        <v>2775</v>
      </c>
      <c r="N743" s="2268" t="s">
        <v>2765</v>
      </c>
      <c r="O743" s="2269">
        <v>100000</v>
      </c>
      <c r="P743" s="2270" t="s">
        <v>2766</v>
      </c>
      <c r="Q743" s="2270">
        <v>100000</v>
      </c>
      <c r="R743" s="2268"/>
      <c r="S743" s="2268" t="s">
        <v>2767</v>
      </c>
      <c r="T743" s="2268" t="s">
        <v>2768</v>
      </c>
      <c r="U743" s="2268"/>
    </row>
    <row r="744" spans="2:21" ht="30">
      <c r="B744" s="2316"/>
      <c r="C744" s="2271" t="s">
        <v>676</v>
      </c>
      <c r="D744" s="2888" t="s">
        <v>676</v>
      </c>
      <c r="E744" s="2907"/>
      <c r="F744" s="2907"/>
      <c r="G744" s="2908"/>
      <c r="H744" s="2888" t="s">
        <v>676</v>
      </c>
      <c r="I744" s="2908"/>
      <c r="J744" s="2888" t="s">
        <v>676</v>
      </c>
      <c r="K744" s="2908"/>
      <c r="L744" s="2271" t="s">
        <v>676</v>
      </c>
      <c r="M744" s="2271" t="s">
        <v>676</v>
      </c>
      <c r="N744" s="2271" t="s">
        <v>676</v>
      </c>
      <c r="O744" s="2272" t="s">
        <v>676</v>
      </c>
      <c r="P744" s="2270" t="s">
        <v>2769</v>
      </c>
      <c r="Q744" s="2270">
        <v>0</v>
      </c>
      <c r="R744" s="2271" t="s">
        <v>676</v>
      </c>
      <c r="S744" s="2271" t="s">
        <v>676</v>
      </c>
      <c r="T744" s="2271" t="s">
        <v>676</v>
      </c>
      <c r="U744" s="2271" t="s">
        <v>676</v>
      </c>
    </row>
    <row r="745" spans="2:21" ht="30">
      <c r="B745" s="2316"/>
      <c r="C745" s="2271" t="s">
        <v>676</v>
      </c>
      <c r="D745" s="2891" t="s">
        <v>676</v>
      </c>
      <c r="E745" s="2907"/>
      <c r="F745" s="2907"/>
      <c r="G745" s="2908"/>
      <c r="H745" s="2892" t="s">
        <v>676</v>
      </c>
      <c r="I745" s="2907"/>
      <c r="J745" s="2888" t="s">
        <v>676</v>
      </c>
      <c r="K745" s="2908"/>
      <c r="L745" s="2271" t="s">
        <v>676</v>
      </c>
      <c r="M745" s="2271" t="s">
        <v>676</v>
      </c>
      <c r="N745" s="2271" t="s">
        <v>676</v>
      </c>
      <c r="O745" s="2272" t="s">
        <v>676</v>
      </c>
      <c r="P745" s="2270" t="s">
        <v>2770</v>
      </c>
      <c r="Q745" s="2270">
        <v>0</v>
      </c>
      <c r="R745" s="2271" t="s">
        <v>676</v>
      </c>
      <c r="S745" s="2271" t="s">
        <v>676</v>
      </c>
      <c r="T745" s="2271" t="s">
        <v>676</v>
      </c>
      <c r="U745" s="2271" t="s">
        <v>676</v>
      </c>
    </row>
    <row r="746" spans="2:21" ht="60">
      <c r="B746" s="2316"/>
      <c r="C746" s="2268">
        <v>3</v>
      </c>
      <c r="D746" s="2882" t="s">
        <v>2980</v>
      </c>
      <c r="E746" s="2905"/>
      <c r="F746" s="2905"/>
      <c r="G746" s="2906"/>
      <c r="H746" s="2882" t="s">
        <v>2981</v>
      </c>
      <c r="I746" s="2906"/>
      <c r="J746" s="2882" t="s">
        <v>2762</v>
      </c>
      <c r="K746" s="2906"/>
      <c r="L746" s="2268" t="s">
        <v>2763</v>
      </c>
      <c r="M746" s="2268" t="s">
        <v>2764</v>
      </c>
      <c r="N746" s="2268" t="s">
        <v>2776</v>
      </c>
      <c r="O746" s="2269">
        <v>200000</v>
      </c>
      <c r="P746" s="2270" t="s">
        <v>2766</v>
      </c>
      <c r="Q746" s="2270">
        <v>200000</v>
      </c>
      <c r="R746" s="2268" t="s">
        <v>688</v>
      </c>
      <c r="S746" s="2268" t="s">
        <v>2799</v>
      </c>
      <c r="T746" s="2268" t="s">
        <v>2768</v>
      </c>
      <c r="U746" s="2268"/>
    </row>
    <row r="747" spans="2:21" ht="30">
      <c r="B747" s="2316"/>
      <c r="C747" s="2271" t="s">
        <v>676</v>
      </c>
      <c r="D747" s="2888" t="s">
        <v>676</v>
      </c>
      <c r="E747" s="2907"/>
      <c r="F747" s="2907"/>
      <c r="G747" s="2908"/>
      <c r="H747" s="2888" t="s">
        <v>676</v>
      </c>
      <c r="I747" s="2908"/>
      <c r="J747" s="2888" t="s">
        <v>676</v>
      </c>
      <c r="K747" s="2908"/>
      <c r="L747" s="2271" t="s">
        <v>676</v>
      </c>
      <c r="M747" s="2271" t="s">
        <v>676</v>
      </c>
      <c r="N747" s="2271" t="s">
        <v>676</v>
      </c>
      <c r="O747" s="2272" t="s">
        <v>676</v>
      </c>
      <c r="P747" s="2270" t="s">
        <v>2769</v>
      </c>
      <c r="Q747" s="2270">
        <v>0</v>
      </c>
      <c r="R747" s="2271" t="s">
        <v>676</v>
      </c>
      <c r="S747" s="2271" t="s">
        <v>676</v>
      </c>
      <c r="T747" s="2271" t="s">
        <v>676</v>
      </c>
      <c r="U747" s="2271" t="s">
        <v>676</v>
      </c>
    </row>
    <row r="748" spans="2:21" ht="30">
      <c r="B748" s="2316"/>
      <c r="C748" s="2271" t="s">
        <v>676</v>
      </c>
      <c r="D748" s="2891" t="s">
        <v>676</v>
      </c>
      <c r="E748" s="2907"/>
      <c r="F748" s="2907"/>
      <c r="G748" s="2908"/>
      <c r="H748" s="2892" t="s">
        <v>676</v>
      </c>
      <c r="I748" s="2907"/>
      <c r="J748" s="2888" t="s">
        <v>676</v>
      </c>
      <c r="K748" s="2908"/>
      <c r="L748" s="2271" t="s">
        <v>676</v>
      </c>
      <c r="M748" s="2271" t="s">
        <v>676</v>
      </c>
      <c r="N748" s="2271" t="s">
        <v>676</v>
      </c>
      <c r="O748" s="2272" t="s">
        <v>676</v>
      </c>
      <c r="P748" s="2270" t="s">
        <v>2770</v>
      </c>
      <c r="Q748" s="2270">
        <v>0</v>
      </c>
      <c r="R748" s="2271" t="s">
        <v>676</v>
      </c>
      <c r="S748" s="2271" t="s">
        <v>676</v>
      </c>
      <c r="T748" s="2271" t="s">
        <v>676</v>
      </c>
      <c r="U748" s="2271" t="s">
        <v>676</v>
      </c>
    </row>
    <row r="749" spans="2:21" ht="60">
      <c r="B749" s="2316"/>
      <c r="C749" s="2268">
        <v>4</v>
      </c>
      <c r="D749" s="2882" t="s">
        <v>2982</v>
      </c>
      <c r="E749" s="2905"/>
      <c r="F749" s="2905"/>
      <c r="G749" s="2906"/>
      <c r="H749" s="2882" t="s">
        <v>2983</v>
      </c>
      <c r="I749" s="2906"/>
      <c r="J749" s="2882" t="s">
        <v>2762</v>
      </c>
      <c r="K749" s="2906"/>
      <c r="L749" s="2268" t="s">
        <v>2763</v>
      </c>
      <c r="M749" s="2268" t="s">
        <v>2775</v>
      </c>
      <c r="N749" s="2268" t="s">
        <v>2776</v>
      </c>
      <c r="O749" s="2269">
        <v>6000000</v>
      </c>
      <c r="P749" s="2270" t="s">
        <v>2766</v>
      </c>
      <c r="Q749" s="2270">
        <v>6000000</v>
      </c>
      <c r="R749" s="2268" t="s">
        <v>892</v>
      </c>
      <c r="S749" s="2268" t="s">
        <v>2767</v>
      </c>
      <c r="T749" s="2268" t="s">
        <v>2768</v>
      </c>
      <c r="U749" s="2268"/>
    </row>
    <row r="750" spans="2:21" ht="30">
      <c r="B750" s="2316"/>
      <c r="C750" s="2271" t="s">
        <v>676</v>
      </c>
      <c r="D750" s="2888" t="s">
        <v>676</v>
      </c>
      <c r="E750" s="2907"/>
      <c r="F750" s="2907"/>
      <c r="G750" s="2908"/>
      <c r="H750" s="2888" t="s">
        <v>676</v>
      </c>
      <c r="I750" s="2908"/>
      <c r="J750" s="2888" t="s">
        <v>676</v>
      </c>
      <c r="K750" s="2908"/>
      <c r="L750" s="2271" t="s">
        <v>676</v>
      </c>
      <c r="M750" s="2271" t="s">
        <v>676</v>
      </c>
      <c r="N750" s="2271" t="s">
        <v>676</v>
      </c>
      <c r="O750" s="2272" t="s">
        <v>676</v>
      </c>
      <c r="P750" s="2270" t="s">
        <v>2769</v>
      </c>
      <c r="Q750" s="2270">
        <v>0</v>
      </c>
      <c r="R750" s="2271" t="s">
        <v>676</v>
      </c>
      <c r="S750" s="2271" t="s">
        <v>676</v>
      </c>
      <c r="T750" s="2271" t="s">
        <v>676</v>
      </c>
      <c r="U750" s="2271" t="s">
        <v>676</v>
      </c>
    </row>
    <row r="751" spans="2:21" ht="30">
      <c r="B751" s="2316"/>
      <c r="C751" s="2271" t="s">
        <v>676</v>
      </c>
      <c r="D751" s="2891" t="s">
        <v>676</v>
      </c>
      <c r="E751" s="2907"/>
      <c r="F751" s="2907"/>
      <c r="G751" s="2908"/>
      <c r="H751" s="2892" t="s">
        <v>676</v>
      </c>
      <c r="I751" s="2907"/>
      <c r="J751" s="2888" t="s">
        <v>676</v>
      </c>
      <c r="K751" s="2908"/>
      <c r="L751" s="2271" t="s">
        <v>676</v>
      </c>
      <c r="M751" s="2271" t="s">
        <v>676</v>
      </c>
      <c r="N751" s="2271" t="s">
        <v>676</v>
      </c>
      <c r="O751" s="2272" t="s">
        <v>676</v>
      </c>
      <c r="P751" s="2270" t="s">
        <v>2770</v>
      </c>
      <c r="Q751" s="2270">
        <v>0</v>
      </c>
      <c r="R751" s="2271" t="s">
        <v>676</v>
      </c>
      <c r="S751" s="2271" t="s">
        <v>676</v>
      </c>
      <c r="T751" s="2271" t="s">
        <v>676</v>
      </c>
      <c r="U751" s="2271" t="s">
        <v>676</v>
      </c>
    </row>
    <row r="752" spans="2:21" ht="60">
      <c r="B752" s="2316"/>
      <c r="C752" s="2268">
        <v>5</v>
      </c>
      <c r="D752" s="2882" t="s">
        <v>2984</v>
      </c>
      <c r="E752" s="2905"/>
      <c r="F752" s="2905"/>
      <c r="G752" s="2906"/>
      <c r="H752" s="2882" t="s">
        <v>2985</v>
      </c>
      <c r="I752" s="2906"/>
      <c r="J752" s="2882" t="s">
        <v>2762</v>
      </c>
      <c r="K752" s="2906"/>
      <c r="L752" s="2268" t="s">
        <v>2763</v>
      </c>
      <c r="M752" s="2268" t="s">
        <v>2764</v>
      </c>
      <c r="N752" s="2268" t="s">
        <v>2776</v>
      </c>
      <c r="O752" s="2269">
        <v>400000</v>
      </c>
      <c r="P752" s="2270" t="s">
        <v>2766</v>
      </c>
      <c r="Q752" s="2270">
        <v>400000</v>
      </c>
      <c r="R752" s="2268" t="s">
        <v>688</v>
      </c>
      <c r="S752" s="2268" t="s">
        <v>2767</v>
      </c>
      <c r="T752" s="2268" t="s">
        <v>2768</v>
      </c>
      <c r="U752" s="2268"/>
    </row>
    <row r="753" spans="2:21" ht="30">
      <c r="B753" s="2316"/>
      <c r="C753" s="2271" t="s">
        <v>676</v>
      </c>
      <c r="D753" s="2888" t="s">
        <v>676</v>
      </c>
      <c r="E753" s="2907"/>
      <c r="F753" s="2907"/>
      <c r="G753" s="2908"/>
      <c r="H753" s="2888" t="s">
        <v>676</v>
      </c>
      <c r="I753" s="2908"/>
      <c r="J753" s="2888" t="s">
        <v>676</v>
      </c>
      <c r="K753" s="2908"/>
      <c r="L753" s="2271" t="s">
        <v>676</v>
      </c>
      <c r="M753" s="2271" t="s">
        <v>676</v>
      </c>
      <c r="N753" s="2271" t="s">
        <v>676</v>
      </c>
      <c r="O753" s="2272" t="s">
        <v>676</v>
      </c>
      <c r="P753" s="2270" t="s">
        <v>2769</v>
      </c>
      <c r="Q753" s="2270">
        <v>0</v>
      </c>
      <c r="R753" s="2271" t="s">
        <v>676</v>
      </c>
      <c r="S753" s="2271" t="s">
        <v>676</v>
      </c>
      <c r="T753" s="2271" t="s">
        <v>676</v>
      </c>
      <c r="U753" s="2271" t="s">
        <v>676</v>
      </c>
    </row>
    <row r="754" spans="2:21" ht="30">
      <c r="B754" s="2316"/>
      <c r="C754" s="2271" t="s">
        <v>676</v>
      </c>
      <c r="D754" s="2891" t="s">
        <v>676</v>
      </c>
      <c r="E754" s="2907"/>
      <c r="F754" s="2907"/>
      <c r="G754" s="2908"/>
      <c r="H754" s="2892" t="s">
        <v>676</v>
      </c>
      <c r="I754" s="2907"/>
      <c r="J754" s="2888" t="s">
        <v>676</v>
      </c>
      <c r="K754" s="2908"/>
      <c r="L754" s="2271" t="s">
        <v>676</v>
      </c>
      <c r="M754" s="2271" t="s">
        <v>676</v>
      </c>
      <c r="N754" s="2271" t="s">
        <v>676</v>
      </c>
      <c r="O754" s="2272" t="s">
        <v>676</v>
      </c>
      <c r="P754" s="2270" t="s">
        <v>2770</v>
      </c>
      <c r="Q754" s="2270">
        <v>0</v>
      </c>
      <c r="R754" s="2271" t="s">
        <v>676</v>
      </c>
      <c r="S754" s="2271" t="s">
        <v>676</v>
      </c>
      <c r="T754" s="2271" t="s">
        <v>676</v>
      </c>
      <c r="U754" s="2271" t="s">
        <v>676</v>
      </c>
    </row>
    <row r="755" spans="2:21" ht="90">
      <c r="B755" s="2316"/>
      <c r="C755" s="2268">
        <v>6</v>
      </c>
      <c r="D755" s="2882" t="s">
        <v>2986</v>
      </c>
      <c r="E755" s="2905"/>
      <c r="F755" s="2905"/>
      <c r="G755" s="2906"/>
      <c r="H755" s="2882" t="s">
        <v>2987</v>
      </c>
      <c r="I755" s="2906"/>
      <c r="J755" s="2882" t="s">
        <v>2762</v>
      </c>
      <c r="K755" s="2906"/>
      <c r="L755" s="2268" t="s">
        <v>2763</v>
      </c>
      <c r="M755" s="2268" t="s">
        <v>2764</v>
      </c>
      <c r="N755" s="2268" t="s">
        <v>2765</v>
      </c>
      <c r="O755" s="2269">
        <v>90000</v>
      </c>
      <c r="P755" s="2270" t="s">
        <v>2766</v>
      </c>
      <c r="Q755" s="2270">
        <v>90000</v>
      </c>
      <c r="R755" s="2268"/>
      <c r="S755" s="2268" t="s">
        <v>2767</v>
      </c>
      <c r="T755" s="2268" t="s">
        <v>2768</v>
      </c>
      <c r="U755" s="2268"/>
    </row>
    <row r="756" spans="2:21" ht="30">
      <c r="B756" s="2316"/>
      <c r="C756" s="2271" t="s">
        <v>676</v>
      </c>
      <c r="D756" s="2888" t="s">
        <v>676</v>
      </c>
      <c r="E756" s="2907"/>
      <c r="F756" s="2907"/>
      <c r="G756" s="2908"/>
      <c r="H756" s="2888" t="s">
        <v>676</v>
      </c>
      <c r="I756" s="2908"/>
      <c r="J756" s="2888" t="s">
        <v>676</v>
      </c>
      <c r="K756" s="2908"/>
      <c r="L756" s="2271" t="s">
        <v>676</v>
      </c>
      <c r="M756" s="2271" t="s">
        <v>676</v>
      </c>
      <c r="N756" s="2271" t="s">
        <v>676</v>
      </c>
      <c r="O756" s="2272" t="s">
        <v>676</v>
      </c>
      <c r="P756" s="2270" t="s">
        <v>2769</v>
      </c>
      <c r="Q756" s="2270">
        <v>0</v>
      </c>
      <c r="R756" s="2271" t="s">
        <v>676</v>
      </c>
      <c r="S756" s="2271" t="s">
        <v>676</v>
      </c>
      <c r="T756" s="2271" t="s">
        <v>676</v>
      </c>
      <c r="U756" s="2271" t="s">
        <v>676</v>
      </c>
    </row>
    <row r="757" spans="2:21" ht="30">
      <c r="B757" s="2316"/>
      <c r="C757" s="2271" t="s">
        <v>676</v>
      </c>
      <c r="D757" s="2891" t="s">
        <v>676</v>
      </c>
      <c r="E757" s="2907"/>
      <c r="F757" s="2907"/>
      <c r="G757" s="2908"/>
      <c r="H757" s="2892" t="s">
        <v>676</v>
      </c>
      <c r="I757" s="2907"/>
      <c r="J757" s="2888" t="s">
        <v>676</v>
      </c>
      <c r="K757" s="2908"/>
      <c r="L757" s="2271" t="s">
        <v>676</v>
      </c>
      <c r="M757" s="2271" t="s">
        <v>676</v>
      </c>
      <c r="N757" s="2271" t="s">
        <v>676</v>
      </c>
      <c r="O757" s="2272" t="s">
        <v>676</v>
      </c>
      <c r="P757" s="2270" t="s">
        <v>2770</v>
      </c>
      <c r="Q757" s="2270">
        <v>0</v>
      </c>
      <c r="R757" s="2271" t="s">
        <v>676</v>
      </c>
      <c r="S757" s="2271" t="s">
        <v>676</v>
      </c>
      <c r="T757" s="2271" t="s">
        <v>676</v>
      </c>
      <c r="U757" s="2271" t="s">
        <v>676</v>
      </c>
    </row>
    <row r="758" spans="2:21" ht="90">
      <c r="B758" s="2316"/>
      <c r="C758" s="2268">
        <v>7</v>
      </c>
      <c r="D758" s="2882" t="s">
        <v>172</v>
      </c>
      <c r="E758" s="2905"/>
      <c r="F758" s="2905"/>
      <c r="G758" s="2906"/>
      <c r="H758" s="2882" t="s">
        <v>2988</v>
      </c>
      <c r="I758" s="2906"/>
      <c r="J758" s="2882" t="s">
        <v>2762</v>
      </c>
      <c r="K758" s="2906"/>
      <c r="L758" s="2268" t="s">
        <v>2763</v>
      </c>
      <c r="M758" s="2268" t="s">
        <v>2775</v>
      </c>
      <c r="N758" s="2268" t="s">
        <v>2765</v>
      </c>
      <c r="O758" s="2269">
        <v>100000</v>
      </c>
      <c r="P758" s="2270" t="s">
        <v>2766</v>
      </c>
      <c r="Q758" s="2270">
        <v>100000</v>
      </c>
      <c r="R758" s="2268"/>
      <c r="S758" s="2268" t="s">
        <v>2767</v>
      </c>
      <c r="T758" s="2268" t="s">
        <v>2768</v>
      </c>
      <c r="U758" s="2268"/>
    </row>
    <row r="759" spans="2:21" ht="30">
      <c r="B759" s="2316"/>
      <c r="C759" s="2271" t="s">
        <v>676</v>
      </c>
      <c r="D759" s="2888" t="s">
        <v>676</v>
      </c>
      <c r="E759" s="2907"/>
      <c r="F759" s="2907"/>
      <c r="G759" s="2908"/>
      <c r="H759" s="2888" t="s">
        <v>676</v>
      </c>
      <c r="I759" s="2908"/>
      <c r="J759" s="2888" t="s">
        <v>676</v>
      </c>
      <c r="K759" s="2908"/>
      <c r="L759" s="2271" t="s">
        <v>676</v>
      </c>
      <c r="M759" s="2271" t="s">
        <v>676</v>
      </c>
      <c r="N759" s="2271" t="s">
        <v>676</v>
      </c>
      <c r="O759" s="2272" t="s">
        <v>676</v>
      </c>
      <c r="P759" s="2270" t="s">
        <v>2769</v>
      </c>
      <c r="Q759" s="2270">
        <v>0</v>
      </c>
      <c r="R759" s="2271" t="s">
        <v>676</v>
      </c>
      <c r="S759" s="2271" t="s">
        <v>676</v>
      </c>
      <c r="T759" s="2271" t="s">
        <v>676</v>
      </c>
      <c r="U759" s="2271" t="s">
        <v>676</v>
      </c>
    </row>
    <row r="760" spans="2:21" ht="30">
      <c r="B760" s="2316"/>
      <c r="C760" s="2271" t="s">
        <v>676</v>
      </c>
      <c r="D760" s="2891" t="s">
        <v>676</v>
      </c>
      <c r="E760" s="2907"/>
      <c r="F760" s="2907"/>
      <c r="G760" s="2908"/>
      <c r="H760" s="2892" t="s">
        <v>676</v>
      </c>
      <c r="I760" s="2907"/>
      <c r="J760" s="2888" t="s">
        <v>676</v>
      </c>
      <c r="K760" s="2908"/>
      <c r="L760" s="2271" t="s">
        <v>676</v>
      </c>
      <c r="M760" s="2271" t="s">
        <v>676</v>
      </c>
      <c r="N760" s="2271" t="s">
        <v>676</v>
      </c>
      <c r="O760" s="2272" t="s">
        <v>676</v>
      </c>
      <c r="P760" s="2270" t="s">
        <v>2770</v>
      </c>
      <c r="Q760" s="2270">
        <v>0</v>
      </c>
      <c r="R760" s="2271" t="s">
        <v>676</v>
      </c>
      <c r="S760" s="2271" t="s">
        <v>676</v>
      </c>
      <c r="T760" s="2271" t="s">
        <v>676</v>
      </c>
      <c r="U760" s="2271" t="s">
        <v>676</v>
      </c>
    </row>
    <row r="761" spans="2:21" ht="60">
      <c r="B761" s="2316"/>
      <c r="C761" s="2268">
        <v>8</v>
      </c>
      <c r="D761" s="2882" t="s">
        <v>2989</v>
      </c>
      <c r="E761" s="2905"/>
      <c r="F761" s="2905"/>
      <c r="G761" s="2906"/>
      <c r="H761" s="2882" t="s">
        <v>1616</v>
      </c>
      <c r="I761" s="2906"/>
      <c r="J761" s="2882" t="s">
        <v>2762</v>
      </c>
      <c r="K761" s="2906"/>
      <c r="L761" s="2268" t="s">
        <v>2763</v>
      </c>
      <c r="M761" s="2268" t="s">
        <v>2775</v>
      </c>
      <c r="N761" s="2268" t="s">
        <v>2776</v>
      </c>
      <c r="O761" s="2269">
        <v>490000</v>
      </c>
      <c r="P761" s="2270" t="s">
        <v>2766</v>
      </c>
      <c r="Q761" s="2270">
        <v>490000</v>
      </c>
      <c r="R761" s="2268" t="s">
        <v>688</v>
      </c>
      <c r="S761" s="2268" t="s">
        <v>2767</v>
      </c>
      <c r="T761" s="2268" t="s">
        <v>2768</v>
      </c>
      <c r="U761" s="2268"/>
    </row>
    <row r="762" spans="2:21" ht="30">
      <c r="B762" s="2316"/>
      <c r="C762" s="2271" t="s">
        <v>676</v>
      </c>
      <c r="D762" s="2888" t="s">
        <v>676</v>
      </c>
      <c r="E762" s="2907"/>
      <c r="F762" s="2907"/>
      <c r="G762" s="2908"/>
      <c r="H762" s="2888" t="s">
        <v>676</v>
      </c>
      <c r="I762" s="2908"/>
      <c r="J762" s="2888" t="s">
        <v>676</v>
      </c>
      <c r="K762" s="2908"/>
      <c r="L762" s="2271" t="s">
        <v>676</v>
      </c>
      <c r="M762" s="2271" t="s">
        <v>676</v>
      </c>
      <c r="N762" s="2271" t="s">
        <v>676</v>
      </c>
      <c r="O762" s="2272" t="s">
        <v>676</v>
      </c>
      <c r="P762" s="2270" t="s">
        <v>2769</v>
      </c>
      <c r="Q762" s="2270">
        <v>0</v>
      </c>
      <c r="R762" s="2271" t="s">
        <v>676</v>
      </c>
      <c r="S762" s="2271" t="s">
        <v>676</v>
      </c>
      <c r="T762" s="2271" t="s">
        <v>676</v>
      </c>
      <c r="U762" s="2271" t="s">
        <v>676</v>
      </c>
    </row>
    <row r="763" spans="2:21" ht="30">
      <c r="B763" s="2316"/>
      <c r="C763" s="2271" t="s">
        <v>676</v>
      </c>
      <c r="D763" s="2891" t="s">
        <v>676</v>
      </c>
      <c r="E763" s="2907"/>
      <c r="F763" s="2907"/>
      <c r="G763" s="2908"/>
      <c r="H763" s="2892" t="s">
        <v>676</v>
      </c>
      <c r="I763" s="2907"/>
      <c r="J763" s="2888" t="s">
        <v>676</v>
      </c>
      <c r="K763" s="2908"/>
      <c r="L763" s="2271" t="s">
        <v>676</v>
      </c>
      <c r="M763" s="2271" t="s">
        <v>676</v>
      </c>
      <c r="N763" s="2271" t="s">
        <v>676</v>
      </c>
      <c r="O763" s="2272" t="s">
        <v>676</v>
      </c>
      <c r="P763" s="2270" t="s">
        <v>2770</v>
      </c>
      <c r="Q763" s="2270">
        <v>0</v>
      </c>
      <c r="R763" s="2271" t="s">
        <v>676</v>
      </c>
      <c r="S763" s="2271" t="s">
        <v>676</v>
      </c>
      <c r="T763" s="2271" t="s">
        <v>676</v>
      </c>
      <c r="U763" s="2271" t="s">
        <v>676</v>
      </c>
    </row>
    <row r="764" spans="2:21" ht="60">
      <c r="B764" s="2316"/>
      <c r="C764" s="2268">
        <v>9</v>
      </c>
      <c r="D764" s="2882" t="s">
        <v>1640</v>
      </c>
      <c r="E764" s="2905"/>
      <c r="F764" s="2905"/>
      <c r="G764" s="2906"/>
      <c r="H764" s="2882" t="s">
        <v>687</v>
      </c>
      <c r="I764" s="2906"/>
      <c r="J764" s="2882" t="s">
        <v>2762</v>
      </c>
      <c r="K764" s="2906"/>
      <c r="L764" s="2268" t="s">
        <v>2763</v>
      </c>
      <c r="M764" s="2268" t="s">
        <v>2775</v>
      </c>
      <c r="N764" s="2268" t="s">
        <v>2776</v>
      </c>
      <c r="O764" s="2269">
        <v>800000</v>
      </c>
      <c r="P764" s="2270" t="s">
        <v>2766</v>
      </c>
      <c r="Q764" s="2270">
        <v>800000</v>
      </c>
      <c r="R764" s="2268" t="s">
        <v>688</v>
      </c>
      <c r="S764" s="2268" t="s">
        <v>2767</v>
      </c>
      <c r="T764" s="2268" t="s">
        <v>2768</v>
      </c>
      <c r="U764" s="2268"/>
    </row>
    <row r="765" spans="2:21" ht="30">
      <c r="B765" s="2316"/>
      <c r="C765" s="2271" t="s">
        <v>676</v>
      </c>
      <c r="D765" s="2888" t="s">
        <v>676</v>
      </c>
      <c r="E765" s="2907"/>
      <c r="F765" s="2907"/>
      <c r="G765" s="2908"/>
      <c r="H765" s="2888" t="s">
        <v>676</v>
      </c>
      <c r="I765" s="2908"/>
      <c r="J765" s="2888" t="s">
        <v>676</v>
      </c>
      <c r="K765" s="2908"/>
      <c r="L765" s="2271" t="s">
        <v>676</v>
      </c>
      <c r="M765" s="2271" t="s">
        <v>676</v>
      </c>
      <c r="N765" s="2271" t="s">
        <v>676</v>
      </c>
      <c r="O765" s="2272" t="s">
        <v>676</v>
      </c>
      <c r="P765" s="2270" t="s">
        <v>2769</v>
      </c>
      <c r="Q765" s="2270">
        <v>0</v>
      </c>
      <c r="R765" s="2271" t="s">
        <v>676</v>
      </c>
      <c r="S765" s="2271" t="s">
        <v>676</v>
      </c>
      <c r="T765" s="2271" t="s">
        <v>676</v>
      </c>
      <c r="U765" s="2271" t="s">
        <v>676</v>
      </c>
    </row>
    <row r="766" spans="2:21" ht="30">
      <c r="B766" s="2316"/>
      <c r="C766" s="2271" t="s">
        <v>676</v>
      </c>
      <c r="D766" s="2891" t="s">
        <v>676</v>
      </c>
      <c r="E766" s="2907"/>
      <c r="F766" s="2907"/>
      <c r="G766" s="2908"/>
      <c r="H766" s="2892" t="s">
        <v>676</v>
      </c>
      <c r="I766" s="2907"/>
      <c r="J766" s="2888" t="s">
        <v>676</v>
      </c>
      <c r="K766" s="2908"/>
      <c r="L766" s="2271" t="s">
        <v>676</v>
      </c>
      <c r="M766" s="2271" t="s">
        <v>676</v>
      </c>
      <c r="N766" s="2271" t="s">
        <v>676</v>
      </c>
      <c r="O766" s="2272" t="s">
        <v>676</v>
      </c>
      <c r="P766" s="2270" t="s">
        <v>2770</v>
      </c>
      <c r="Q766" s="2270">
        <v>0</v>
      </c>
      <c r="R766" s="2271" t="s">
        <v>676</v>
      </c>
      <c r="S766" s="2271" t="s">
        <v>676</v>
      </c>
      <c r="T766" s="2271" t="s">
        <v>676</v>
      </c>
      <c r="U766" s="2271" t="s">
        <v>676</v>
      </c>
    </row>
    <row r="767" spans="2:21" ht="60">
      <c r="B767" s="2316"/>
      <c r="C767" s="2268">
        <v>10</v>
      </c>
      <c r="D767" s="2882" t="s">
        <v>1588</v>
      </c>
      <c r="E767" s="2905"/>
      <c r="F767" s="2905"/>
      <c r="G767" s="2906"/>
      <c r="H767" s="2882" t="s">
        <v>1039</v>
      </c>
      <c r="I767" s="2906"/>
      <c r="J767" s="2882" t="s">
        <v>2762</v>
      </c>
      <c r="K767" s="2906"/>
      <c r="L767" s="2268" t="s">
        <v>2763</v>
      </c>
      <c r="M767" s="2268" t="s">
        <v>2764</v>
      </c>
      <c r="N767" s="2268" t="s">
        <v>2776</v>
      </c>
      <c r="O767" s="2269">
        <v>1800000</v>
      </c>
      <c r="P767" s="2270" t="s">
        <v>2766</v>
      </c>
      <c r="Q767" s="2270">
        <v>1800000</v>
      </c>
      <c r="R767" s="2268" t="s">
        <v>892</v>
      </c>
      <c r="S767" s="2268" t="s">
        <v>2767</v>
      </c>
      <c r="T767" s="2268" t="s">
        <v>2768</v>
      </c>
      <c r="U767" s="2268"/>
    </row>
    <row r="768" spans="2:21" ht="30">
      <c r="B768" s="2316"/>
      <c r="C768" s="2271" t="s">
        <v>676</v>
      </c>
      <c r="D768" s="2888" t="s">
        <v>676</v>
      </c>
      <c r="E768" s="2907"/>
      <c r="F768" s="2907"/>
      <c r="G768" s="2908"/>
      <c r="H768" s="2888" t="s">
        <v>676</v>
      </c>
      <c r="I768" s="2908"/>
      <c r="J768" s="2888" t="s">
        <v>676</v>
      </c>
      <c r="K768" s="2908"/>
      <c r="L768" s="2271" t="s">
        <v>676</v>
      </c>
      <c r="M768" s="2271" t="s">
        <v>676</v>
      </c>
      <c r="N768" s="2271" t="s">
        <v>676</v>
      </c>
      <c r="O768" s="2272" t="s">
        <v>676</v>
      </c>
      <c r="P768" s="2270" t="s">
        <v>2769</v>
      </c>
      <c r="Q768" s="2270">
        <v>0</v>
      </c>
      <c r="R768" s="2271" t="s">
        <v>676</v>
      </c>
      <c r="S768" s="2271" t="s">
        <v>676</v>
      </c>
      <c r="T768" s="2271" t="s">
        <v>676</v>
      </c>
      <c r="U768" s="2271" t="s">
        <v>676</v>
      </c>
    </row>
    <row r="769" spans="2:21" ht="30">
      <c r="B769" s="2316"/>
      <c r="C769" s="2271" t="s">
        <v>676</v>
      </c>
      <c r="D769" s="2891" t="s">
        <v>676</v>
      </c>
      <c r="E769" s="2907"/>
      <c r="F769" s="2907"/>
      <c r="G769" s="2908"/>
      <c r="H769" s="2892" t="s">
        <v>676</v>
      </c>
      <c r="I769" s="2907"/>
      <c r="J769" s="2888" t="s">
        <v>676</v>
      </c>
      <c r="K769" s="2908"/>
      <c r="L769" s="2271" t="s">
        <v>676</v>
      </c>
      <c r="M769" s="2271" t="s">
        <v>676</v>
      </c>
      <c r="N769" s="2271" t="s">
        <v>676</v>
      </c>
      <c r="O769" s="2272" t="s">
        <v>676</v>
      </c>
      <c r="P769" s="2270" t="s">
        <v>2770</v>
      </c>
      <c r="Q769" s="2270">
        <v>0</v>
      </c>
      <c r="R769" s="2271" t="s">
        <v>676</v>
      </c>
      <c r="S769" s="2271" t="s">
        <v>676</v>
      </c>
      <c r="T769" s="2271" t="s">
        <v>676</v>
      </c>
      <c r="U769" s="2271" t="s">
        <v>676</v>
      </c>
    </row>
    <row r="770" spans="2:21" ht="60">
      <c r="B770" s="2316"/>
      <c r="C770" s="2268">
        <v>11</v>
      </c>
      <c r="D770" s="2882" t="s">
        <v>1721</v>
      </c>
      <c r="E770" s="2905"/>
      <c r="F770" s="2905"/>
      <c r="G770" s="2906"/>
      <c r="H770" s="2882" t="s">
        <v>699</v>
      </c>
      <c r="I770" s="2906"/>
      <c r="J770" s="2882" t="s">
        <v>2762</v>
      </c>
      <c r="K770" s="2906"/>
      <c r="L770" s="2268" t="s">
        <v>2763</v>
      </c>
      <c r="M770" s="2268" t="s">
        <v>2775</v>
      </c>
      <c r="N770" s="2268" t="s">
        <v>2776</v>
      </c>
      <c r="O770" s="2269">
        <v>300000</v>
      </c>
      <c r="P770" s="2270" t="s">
        <v>2766</v>
      </c>
      <c r="Q770" s="2270">
        <v>300000</v>
      </c>
      <c r="R770" s="2268" t="s">
        <v>688</v>
      </c>
      <c r="S770" s="2268" t="s">
        <v>2767</v>
      </c>
      <c r="T770" s="2268" t="s">
        <v>2768</v>
      </c>
      <c r="U770" s="2268"/>
    </row>
    <row r="771" spans="2:21" ht="30">
      <c r="B771" s="2316"/>
      <c r="C771" s="2271" t="s">
        <v>676</v>
      </c>
      <c r="D771" s="2888" t="s">
        <v>676</v>
      </c>
      <c r="E771" s="2907"/>
      <c r="F771" s="2907"/>
      <c r="G771" s="2908"/>
      <c r="H771" s="2888" t="s">
        <v>676</v>
      </c>
      <c r="I771" s="2908"/>
      <c r="J771" s="2888" t="s">
        <v>676</v>
      </c>
      <c r="K771" s="2908"/>
      <c r="L771" s="2271" t="s">
        <v>676</v>
      </c>
      <c r="M771" s="2271" t="s">
        <v>676</v>
      </c>
      <c r="N771" s="2271" t="s">
        <v>676</v>
      </c>
      <c r="O771" s="2272" t="s">
        <v>676</v>
      </c>
      <c r="P771" s="2270" t="s">
        <v>2769</v>
      </c>
      <c r="Q771" s="2270">
        <v>0</v>
      </c>
      <c r="R771" s="2271" t="s">
        <v>676</v>
      </c>
      <c r="S771" s="2271" t="s">
        <v>676</v>
      </c>
      <c r="T771" s="2271" t="s">
        <v>676</v>
      </c>
      <c r="U771" s="2271" t="s">
        <v>676</v>
      </c>
    </row>
    <row r="772" spans="2:21" ht="30">
      <c r="B772" s="2316"/>
      <c r="C772" s="2271" t="s">
        <v>676</v>
      </c>
      <c r="D772" s="2891" t="s">
        <v>676</v>
      </c>
      <c r="E772" s="2907"/>
      <c r="F772" s="2907"/>
      <c r="G772" s="2908"/>
      <c r="H772" s="2892" t="s">
        <v>676</v>
      </c>
      <c r="I772" s="2907"/>
      <c r="J772" s="2888" t="s">
        <v>676</v>
      </c>
      <c r="K772" s="2908"/>
      <c r="L772" s="2271" t="s">
        <v>676</v>
      </c>
      <c r="M772" s="2271" t="s">
        <v>676</v>
      </c>
      <c r="N772" s="2271" t="s">
        <v>676</v>
      </c>
      <c r="O772" s="2272" t="s">
        <v>676</v>
      </c>
      <c r="P772" s="2270" t="s">
        <v>2770</v>
      </c>
      <c r="Q772" s="2270">
        <v>0</v>
      </c>
      <c r="R772" s="2271" t="s">
        <v>676</v>
      </c>
      <c r="S772" s="2271" t="s">
        <v>676</v>
      </c>
      <c r="T772" s="2271" t="s">
        <v>676</v>
      </c>
      <c r="U772" s="2271" t="s">
        <v>676</v>
      </c>
    </row>
    <row r="773" spans="2:21" ht="90">
      <c r="B773" s="2316"/>
      <c r="C773" s="2268">
        <v>12</v>
      </c>
      <c r="D773" s="2882" t="s">
        <v>2990</v>
      </c>
      <c r="E773" s="2905"/>
      <c r="F773" s="2905"/>
      <c r="G773" s="2906"/>
      <c r="H773" s="2882" t="s">
        <v>1455</v>
      </c>
      <c r="I773" s="2906"/>
      <c r="J773" s="2882" t="s">
        <v>2762</v>
      </c>
      <c r="K773" s="2906"/>
      <c r="L773" s="2268" t="s">
        <v>2763</v>
      </c>
      <c r="M773" s="2268" t="s">
        <v>2775</v>
      </c>
      <c r="N773" s="2268" t="s">
        <v>2765</v>
      </c>
      <c r="O773" s="2269">
        <v>100000</v>
      </c>
      <c r="P773" s="2270" t="s">
        <v>2766</v>
      </c>
      <c r="Q773" s="2270">
        <v>100000</v>
      </c>
      <c r="R773" s="2268"/>
      <c r="S773" s="2268" t="s">
        <v>2767</v>
      </c>
      <c r="T773" s="2268" t="s">
        <v>2768</v>
      </c>
      <c r="U773" s="2268"/>
    </row>
    <row r="774" spans="2:21" ht="30">
      <c r="B774" s="2316"/>
      <c r="C774" s="2271" t="s">
        <v>676</v>
      </c>
      <c r="D774" s="2888" t="s">
        <v>676</v>
      </c>
      <c r="E774" s="2907"/>
      <c r="F774" s="2907"/>
      <c r="G774" s="2908"/>
      <c r="H774" s="2888" t="s">
        <v>676</v>
      </c>
      <c r="I774" s="2908"/>
      <c r="J774" s="2888" t="s">
        <v>676</v>
      </c>
      <c r="K774" s="2908"/>
      <c r="L774" s="2271" t="s">
        <v>676</v>
      </c>
      <c r="M774" s="2271" t="s">
        <v>676</v>
      </c>
      <c r="N774" s="2271" t="s">
        <v>676</v>
      </c>
      <c r="O774" s="2272" t="s">
        <v>676</v>
      </c>
      <c r="P774" s="2270" t="s">
        <v>2769</v>
      </c>
      <c r="Q774" s="2270">
        <v>0</v>
      </c>
      <c r="R774" s="2271" t="s">
        <v>676</v>
      </c>
      <c r="S774" s="2271" t="s">
        <v>676</v>
      </c>
      <c r="T774" s="2271" t="s">
        <v>676</v>
      </c>
      <c r="U774" s="2271" t="s">
        <v>676</v>
      </c>
    </row>
    <row r="775" spans="2:21" ht="30">
      <c r="B775" s="2316"/>
      <c r="C775" s="2271" t="s">
        <v>676</v>
      </c>
      <c r="D775" s="2891" t="s">
        <v>676</v>
      </c>
      <c r="E775" s="2907"/>
      <c r="F775" s="2907"/>
      <c r="G775" s="2908"/>
      <c r="H775" s="2892" t="s">
        <v>676</v>
      </c>
      <c r="I775" s="2907"/>
      <c r="J775" s="2888" t="s">
        <v>676</v>
      </c>
      <c r="K775" s="2908"/>
      <c r="L775" s="2271" t="s">
        <v>676</v>
      </c>
      <c r="M775" s="2271" t="s">
        <v>676</v>
      </c>
      <c r="N775" s="2271" t="s">
        <v>676</v>
      </c>
      <c r="O775" s="2272" t="s">
        <v>676</v>
      </c>
      <c r="P775" s="2270" t="s">
        <v>2770</v>
      </c>
      <c r="Q775" s="2270">
        <v>0</v>
      </c>
      <c r="R775" s="2271" t="s">
        <v>676</v>
      </c>
      <c r="S775" s="2271" t="s">
        <v>676</v>
      </c>
      <c r="T775" s="2271" t="s">
        <v>676</v>
      </c>
      <c r="U775" s="2271" t="s">
        <v>676</v>
      </c>
    </row>
    <row r="776" spans="2:21" ht="60">
      <c r="B776" s="2316"/>
      <c r="C776" s="2268">
        <v>13</v>
      </c>
      <c r="D776" s="2882" t="s">
        <v>2991</v>
      </c>
      <c r="E776" s="2905"/>
      <c r="F776" s="2905"/>
      <c r="G776" s="2906"/>
      <c r="H776" s="2882" t="s">
        <v>1260</v>
      </c>
      <c r="I776" s="2906"/>
      <c r="J776" s="2882" t="s">
        <v>2762</v>
      </c>
      <c r="K776" s="2906"/>
      <c r="L776" s="2268" t="s">
        <v>2763</v>
      </c>
      <c r="M776" s="2268" t="s">
        <v>2764</v>
      </c>
      <c r="N776" s="2268" t="s">
        <v>2776</v>
      </c>
      <c r="O776" s="2269">
        <v>300000</v>
      </c>
      <c r="P776" s="2270" t="s">
        <v>2766</v>
      </c>
      <c r="Q776" s="2270">
        <v>300000</v>
      </c>
      <c r="R776" s="2268" t="s">
        <v>688</v>
      </c>
      <c r="S776" s="2268" t="s">
        <v>2767</v>
      </c>
      <c r="T776" s="2268" t="s">
        <v>2768</v>
      </c>
      <c r="U776" s="2268"/>
    </row>
    <row r="777" spans="2:21" ht="30">
      <c r="B777" s="2316"/>
      <c r="C777" s="2271" t="s">
        <v>676</v>
      </c>
      <c r="D777" s="2888" t="s">
        <v>676</v>
      </c>
      <c r="E777" s="2907"/>
      <c r="F777" s="2907"/>
      <c r="G777" s="2908"/>
      <c r="H777" s="2888" t="s">
        <v>676</v>
      </c>
      <c r="I777" s="2908"/>
      <c r="J777" s="2888" t="s">
        <v>676</v>
      </c>
      <c r="K777" s="2908"/>
      <c r="L777" s="2271" t="s">
        <v>676</v>
      </c>
      <c r="M777" s="2271" t="s">
        <v>676</v>
      </c>
      <c r="N777" s="2271" t="s">
        <v>676</v>
      </c>
      <c r="O777" s="2272" t="s">
        <v>676</v>
      </c>
      <c r="P777" s="2270" t="s">
        <v>2769</v>
      </c>
      <c r="Q777" s="2270">
        <v>0</v>
      </c>
      <c r="R777" s="2271" t="s">
        <v>676</v>
      </c>
      <c r="S777" s="2271" t="s">
        <v>676</v>
      </c>
      <c r="T777" s="2271" t="s">
        <v>676</v>
      </c>
      <c r="U777" s="2271" t="s">
        <v>676</v>
      </c>
    </row>
    <row r="778" spans="2:21" ht="30">
      <c r="B778" s="2316"/>
      <c r="C778" s="2271" t="s">
        <v>676</v>
      </c>
      <c r="D778" s="2891" t="s">
        <v>676</v>
      </c>
      <c r="E778" s="2907"/>
      <c r="F778" s="2907"/>
      <c r="G778" s="2908"/>
      <c r="H778" s="2892" t="s">
        <v>676</v>
      </c>
      <c r="I778" s="2907"/>
      <c r="J778" s="2888" t="s">
        <v>676</v>
      </c>
      <c r="K778" s="2908"/>
      <c r="L778" s="2271" t="s">
        <v>676</v>
      </c>
      <c r="M778" s="2271" t="s">
        <v>676</v>
      </c>
      <c r="N778" s="2271" t="s">
        <v>676</v>
      </c>
      <c r="O778" s="2272" t="s">
        <v>676</v>
      </c>
      <c r="P778" s="2270" t="s">
        <v>2770</v>
      </c>
      <c r="Q778" s="2270">
        <v>0</v>
      </c>
      <c r="R778" s="2271" t="s">
        <v>676</v>
      </c>
      <c r="S778" s="2271" t="s">
        <v>676</v>
      </c>
      <c r="T778" s="2271" t="s">
        <v>676</v>
      </c>
      <c r="U778" s="2271" t="s">
        <v>676</v>
      </c>
    </row>
    <row r="779" spans="2:21" ht="90">
      <c r="B779" s="2316"/>
      <c r="C779" s="2268">
        <v>14</v>
      </c>
      <c r="D779" s="2882" t="s">
        <v>2992</v>
      </c>
      <c r="E779" s="2905"/>
      <c r="F779" s="2905"/>
      <c r="G779" s="2906"/>
      <c r="H779" s="2882" t="s">
        <v>2993</v>
      </c>
      <c r="I779" s="2906"/>
      <c r="J779" s="2882" t="s">
        <v>2762</v>
      </c>
      <c r="K779" s="2906"/>
      <c r="L779" s="2268" t="s">
        <v>2763</v>
      </c>
      <c r="M779" s="2268" t="s">
        <v>2764</v>
      </c>
      <c r="N779" s="2268" t="s">
        <v>2765</v>
      </c>
      <c r="O779" s="2269">
        <v>100000</v>
      </c>
      <c r="P779" s="2270" t="s">
        <v>2766</v>
      </c>
      <c r="Q779" s="2270">
        <v>100000</v>
      </c>
      <c r="R779" s="2268"/>
      <c r="S779" s="2268" t="s">
        <v>2767</v>
      </c>
      <c r="T779" s="2268" t="s">
        <v>2768</v>
      </c>
      <c r="U779" s="2268"/>
    </row>
    <row r="780" spans="2:21" ht="30">
      <c r="B780" s="2316"/>
      <c r="C780" s="2271" t="s">
        <v>676</v>
      </c>
      <c r="D780" s="2888" t="s">
        <v>676</v>
      </c>
      <c r="E780" s="2907"/>
      <c r="F780" s="2907"/>
      <c r="G780" s="2908"/>
      <c r="H780" s="2888" t="s">
        <v>676</v>
      </c>
      <c r="I780" s="2908"/>
      <c r="J780" s="2888" t="s">
        <v>676</v>
      </c>
      <c r="K780" s="2908"/>
      <c r="L780" s="2271" t="s">
        <v>676</v>
      </c>
      <c r="M780" s="2271" t="s">
        <v>676</v>
      </c>
      <c r="N780" s="2271" t="s">
        <v>676</v>
      </c>
      <c r="O780" s="2272" t="s">
        <v>676</v>
      </c>
      <c r="P780" s="2270" t="s">
        <v>2769</v>
      </c>
      <c r="Q780" s="2270">
        <v>0</v>
      </c>
      <c r="R780" s="2271" t="s">
        <v>676</v>
      </c>
      <c r="S780" s="2271" t="s">
        <v>676</v>
      </c>
      <c r="T780" s="2271" t="s">
        <v>676</v>
      </c>
      <c r="U780" s="2271" t="s">
        <v>676</v>
      </c>
    </row>
    <row r="781" spans="2:21" ht="30">
      <c r="B781" s="2316"/>
      <c r="C781" s="2271" t="s">
        <v>676</v>
      </c>
      <c r="D781" s="2891" t="s">
        <v>676</v>
      </c>
      <c r="E781" s="2907"/>
      <c r="F781" s="2907"/>
      <c r="G781" s="2908"/>
      <c r="H781" s="2892" t="s">
        <v>676</v>
      </c>
      <c r="I781" s="2907"/>
      <c r="J781" s="2888" t="s">
        <v>676</v>
      </c>
      <c r="K781" s="2908"/>
      <c r="L781" s="2271" t="s">
        <v>676</v>
      </c>
      <c r="M781" s="2271" t="s">
        <v>676</v>
      </c>
      <c r="N781" s="2271" t="s">
        <v>676</v>
      </c>
      <c r="O781" s="2272" t="s">
        <v>676</v>
      </c>
      <c r="P781" s="2270" t="s">
        <v>2770</v>
      </c>
      <c r="Q781" s="2270">
        <v>0</v>
      </c>
      <c r="R781" s="2271" t="s">
        <v>676</v>
      </c>
      <c r="S781" s="2271" t="s">
        <v>676</v>
      </c>
      <c r="T781" s="2271" t="s">
        <v>676</v>
      </c>
      <c r="U781" s="2271" t="s">
        <v>676</v>
      </c>
    </row>
    <row r="782" spans="2:21" ht="60">
      <c r="B782" s="2316"/>
      <c r="C782" s="2268">
        <v>15</v>
      </c>
      <c r="D782" s="2882" t="s">
        <v>1733</v>
      </c>
      <c r="E782" s="2905"/>
      <c r="F782" s="2905"/>
      <c r="G782" s="2906"/>
      <c r="H782" s="2882" t="s">
        <v>675</v>
      </c>
      <c r="I782" s="2906"/>
      <c r="J782" s="2882" t="s">
        <v>2762</v>
      </c>
      <c r="K782" s="2906"/>
      <c r="L782" s="2268" t="s">
        <v>2763</v>
      </c>
      <c r="M782" s="2268" t="s">
        <v>2775</v>
      </c>
      <c r="N782" s="2268" t="s">
        <v>2776</v>
      </c>
      <c r="O782" s="2269">
        <v>500000</v>
      </c>
      <c r="P782" s="2270" t="s">
        <v>2766</v>
      </c>
      <c r="Q782" s="2270">
        <v>500000</v>
      </c>
      <c r="R782" s="2268" t="s">
        <v>688</v>
      </c>
      <c r="S782" s="2268" t="s">
        <v>2767</v>
      </c>
      <c r="T782" s="2268" t="s">
        <v>2768</v>
      </c>
      <c r="U782" s="2268"/>
    </row>
    <row r="783" spans="2:21" ht="30">
      <c r="B783" s="2316"/>
      <c r="C783" s="2271" t="s">
        <v>676</v>
      </c>
      <c r="D783" s="2888" t="s">
        <v>676</v>
      </c>
      <c r="E783" s="2907"/>
      <c r="F783" s="2907"/>
      <c r="G783" s="2908"/>
      <c r="H783" s="2888" t="s">
        <v>676</v>
      </c>
      <c r="I783" s="2908"/>
      <c r="J783" s="2888" t="s">
        <v>676</v>
      </c>
      <c r="K783" s="2908"/>
      <c r="L783" s="2271" t="s">
        <v>676</v>
      </c>
      <c r="M783" s="2271" t="s">
        <v>676</v>
      </c>
      <c r="N783" s="2271" t="s">
        <v>676</v>
      </c>
      <c r="O783" s="2272" t="s">
        <v>676</v>
      </c>
      <c r="P783" s="2270" t="s">
        <v>2769</v>
      </c>
      <c r="Q783" s="2270">
        <v>0</v>
      </c>
      <c r="R783" s="2271" t="s">
        <v>676</v>
      </c>
      <c r="S783" s="2271" t="s">
        <v>676</v>
      </c>
      <c r="T783" s="2271" t="s">
        <v>676</v>
      </c>
      <c r="U783" s="2271" t="s">
        <v>676</v>
      </c>
    </row>
    <row r="784" spans="2:21" ht="30">
      <c r="B784" s="2316"/>
      <c r="C784" s="2271" t="s">
        <v>676</v>
      </c>
      <c r="D784" s="2891" t="s">
        <v>676</v>
      </c>
      <c r="E784" s="2907"/>
      <c r="F784" s="2907"/>
      <c r="G784" s="2908"/>
      <c r="H784" s="2892" t="s">
        <v>676</v>
      </c>
      <c r="I784" s="2907"/>
      <c r="J784" s="2888" t="s">
        <v>676</v>
      </c>
      <c r="K784" s="2908"/>
      <c r="L784" s="2271" t="s">
        <v>676</v>
      </c>
      <c r="M784" s="2271" t="s">
        <v>676</v>
      </c>
      <c r="N784" s="2271" t="s">
        <v>676</v>
      </c>
      <c r="O784" s="2272" t="s">
        <v>676</v>
      </c>
      <c r="P784" s="2270" t="s">
        <v>2770</v>
      </c>
      <c r="Q784" s="2270">
        <v>0</v>
      </c>
      <c r="R784" s="2271" t="s">
        <v>676</v>
      </c>
      <c r="S784" s="2271" t="s">
        <v>676</v>
      </c>
      <c r="T784" s="2271" t="s">
        <v>676</v>
      </c>
      <c r="U784" s="2271" t="s">
        <v>676</v>
      </c>
    </row>
    <row r="785" spans="2:21" ht="60">
      <c r="B785" s="2316"/>
      <c r="C785" s="2268">
        <v>16</v>
      </c>
      <c r="D785" s="2882" t="s">
        <v>2994</v>
      </c>
      <c r="E785" s="2905"/>
      <c r="F785" s="2905"/>
      <c r="G785" s="2906"/>
      <c r="H785" s="2882" t="s">
        <v>855</v>
      </c>
      <c r="I785" s="2906"/>
      <c r="J785" s="2882" t="s">
        <v>2762</v>
      </c>
      <c r="K785" s="2906"/>
      <c r="L785" s="2268" t="s">
        <v>2763</v>
      </c>
      <c r="M785" s="2268" t="s">
        <v>2775</v>
      </c>
      <c r="N785" s="2268" t="s">
        <v>2776</v>
      </c>
      <c r="O785" s="2269">
        <v>500000</v>
      </c>
      <c r="P785" s="2270" t="s">
        <v>2766</v>
      </c>
      <c r="Q785" s="2270">
        <v>500000</v>
      </c>
      <c r="R785" s="2268" t="s">
        <v>688</v>
      </c>
      <c r="S785" s="2268" t="s">
        <v>2767</v>
      </c>
      <c r="T785" s="2268" t="s">
        <v>2768</v>
      </c>
      <c r="U785" s="2268"/>
    </row>
    <row r="786" spans="2:21" ht="30">
      <c r="B786" s="2316"/>
      <c r="C786" s="2271" t="s">
        <v>676</v>
      </c>
      <c r="D786" s="2888" t="s">
        <v>676</v>
      </c>
      <c r="E786" s="2907"/>
      <c r="F786" s="2907"/>
      <c r="G786" s="2908"/>
      <c r="H786" s="2888" t="s">
        <v>676</v>
      </c>
      <c r="I786" s="2908"/>
      <c r="J786" s="2888" t="s">
        <v>676</v>
      </c>
      <c r="K786" s="2908"/>
      <c r="L786" s="2271" t="s">
        <v>676</v>
      </c>
      <c r="M786" s="2271" t="s">
        <v>676</v>
      </c>
      <c r="N786" s="2271" t="s">
        <v>676</v>
      </c>
      <c r="O786" s="2272" t="s">
        <v>676</v>
      </c>
      <c r="P786" s="2270" t="s">
        <v>2769</v>
      </c>
      <c r="Q786" s="2270">
        <v>0</v>
      </c>
      <c r="R786" s="2271" t="s">
        <v>676</v>
      </c>
      <c r="S786" s="2271" t="s">
        <v>676</v>
      </c>
      <c r="T786" s="2271" t="s">
        <v>676</v>
      </c>
      <c r="U786" s="2271" t="s">
        <v>676</v>
      </c>
    </row>
    <row r="787" spans="2:21" ht="30">
      <c r="B787" s="2316"/>
      <c r="C787" s="2271" t="s">
        <v>676</v>
      </c>
      <c r="D787" s="2891" t="s">
        <v>676</v>
      </c>
      <c r="E787" s="2907"/>
      <c r="F787" s="2907"/>
      <c r="G787" s="2908"/>
      <c r="H787" s="2892" t="s">
        <v>676</v>
      </c>
      <c r="I787" s="2907"/>
      <c r="J787" s="2888" t="s">
        <v>676</v>
      </c>
      <c r="K787" s="2908"/>
      <c r="L787" s="2271" t="s">
        <v>676</v>
      </c>
      <c r="M787" s="2271" t="s">
        <v>676</v>
      </c>
      <c r="N787" s="2271" t="s">
        <v>676</v>
      </c>
      <c r="O787" s="2272" t="s">
        <v>676</v>
      </c>
      <c r="P787" s="2270" t="s">
        <v>2770</v>
      </c>
      <c r="Q787" s="2270">
        <v>0</v>
      </c>
      <c r="R787" s="2271" t="s">
        <v>676</v>
      </c>
      <c r="S787" s="2271" t="s">
        <v>676</v>
      </c>
      <c r="T787" s="2271" t="s">
        <v>676</v>
      </c>
      <c r="U787" s="2271" t="s">
        <v>676</v>
      </c>
    </row>
    <row r="788" spans="2:21" ht="90">
      <c r="B788" s="2316"/>
      <c r="C788" s="2268">
        <v>17</v>
      </c>
      <c r="D788" s="2882" t="s">
        <v>1572</v>
      </c>
      <c r="E788" s="2905"/>
      <c r="F788" s="2905"/>
      <c r="G788" s="2906"/>
      <c r="H788" s="2882" t="s">
        <v>2995</v>
      </c>
      <c r="I788" s="2906"/>
      <c r="J788" s="2882" t="s">
        <v>2762</v>
      </c>
      <c r="K788" s="2906"/>
      <c r="L788" s="2268" t="s">
        <v>2763</v>
      </c>
      <c r="M788" s="2268" t="s">
        <v>2764</v>
      </c>
      <c r="N788" s="2268" t="s">
        <v>2765</v>
      </c>
      <c r="O788" s="2269">
        <v>100000</v>
      </c>
      <c r="P788" s="2270" t="s">
        <v>2766</v>
      </c>
      <c r="Q788" s="2270">
        <v>100000</v>
      </c>
      <c r="R788" s="2268"/>
      <c r="S788" s="2268" t="s">
        <v>2767</v>
      </c>
      <c r="T788" s="2268" t="s">
        <v>2768</v>
      </c>
      <c r="U788" s="2268"/>
    </row>
    <row r="789" spans="2:21" ht="30">
      <c r="B789" s="2316"/>
      <c r="C789" s="2271" t="s">
        <v>676</v>
      </c>
      <c r="D789" s="2888" t="s">
        <v>676</v>
      </c>
      <c r="E789" s="2907"/>
      <c r="F789" s="2907"/>
      <c r="G789" s="2908"/>
      <c r="H789" s="2888" t="s">
        <v>676</v>
      </c>
      <c r="I789" s="2908"/>
      <c r="J789" s="2888" t="s">
        <v>676</v>
      </c>
      <c r="K789" s="2908"/>
      <c r="L789" s="2271" t="s">
        <v>676</v>
      </c>
      <c r="M789" s="2271" t="s">
        <v>676</v>
      </c>
      <c r="N789" s="2271" t="s">
        <v>676</v>
      </c>
      <c r="O789" s="2272" t="s">
        <v>676</v>
      </c>
      <c r="P789" s="2270" t="s">
        <v>2769</v>
      </c>
      <c r="Q789" s="2270">
        <v>0</v>
      </c>
      <c r="R789" s="2271" t="s">
        <v>676</v>
      </c>
      <c r="S789" s="2271" t="s">
        <v>676</v>
      </c>
      <c r="T789" s="2271" t="s">
        <v>676</v>
      </c>
      <c r="U789" s="2271" t="s">
        <v>676</v>
      </c>
    </row>
    <row r="790" spans="2:21" ht="30">
      <c r="B790" s="2316"/>
      <c r="C790" s="2271" t="s">
        <v>676</v>
      </c>
      <c r="D790" s="2896" t="s">
        <v>676</v>
      </c>
      <c r="E790" s="2897"/>
      <c r="F790" s="2897"/>
      <c r="G790" s="2898"/>
      <c r="H790" s="2899" t="s">
        <v>676</v>
      </c>
      <c r="I790" s="2897"/>
      <c r="J790" s="2900" t="s">
        <v>676</v>
      </c>
      <c r="K790" s="2898"/>
      <c r="L790" s="2273" t="s">
        <v>676</v>
      </c>
      <c r="M790" s="2273" t="s">
        <v>676</v>
      </c>
      <c r="N790" s="2273" t="s">
        <v>676</v>
      </c>
      <c r="O790" s="2274" t="s">
        <v>676</v>
      </c>
      <c r="P790" s="2270" t="s">
        <v>2770</v>
      </c>
      <c r="Q790" s="2270">
        <v>0</v>
      </c>
      <c r="R790" s="2273" t="s">
        <v>676</v>
      </c>
      <c r="S790" s="2273" t="s">
        <v>676</v>
      </c>
      <c r="T790" s="2273" t="s">
        <v>676</v>
      </c>
      <c r="U790" s="2273" t="s">
        <v>676</v>
      </c>
    </row>
    <row r="791" spans="2:21" ht="15">
      <c r="B791" s="1437"/>
      <c r="C791" s="2318" t="s">
        <v>82</v>
      </c>
      <c r="D791" s="2319"/>
      <c r="E791" s="2319"/>
      <c r="F791" s="2319"/>
      <c r="G791" s="2319"/>
      <c r="H791" s="2319"/>
      <c r="I791" s="2320"/>
      <c r="J791" s="2320"/>
      <c r="K791" s="2320" t="e">
        <f>SUM(#REF!)</f>
        <v>#REF!</v>
      </c>
      <c r="L791" s="2321"/>
      <c r="M791" s="2319"/>
      <c r="N791" s="2319"/>
      <c r="O791" s="2322">
        <f>SUM(O740:O790)</f>
        <v>11980000</v>
      </c>
      <c r="P791" s="2320"/>
      <c r="Q791" s="2320">
        <f>SUM(Q740:Q790)</f>
        <v>11980000</v>
      </c>
      <c r="R791" s="2319"/>
      <c r="S791" s="2319"/>
      <c r="T791" s="2319"/>
      <c r="U791" s="2323"/>
    </row>
    <row r="792" spans="2:21" ht="20.25">
      <c r="B792" s="2324"/>
      <c r="C792" s="2325"/>
      <c r="D792" s="2324"/>
      <c r="E792" s="2324"/>
      <c r="F792" s="2325"/>
      <c r="G792" s="2324"/>
      <c r="H792" s="2324"/>
      <c r="I792" s="2324"/>
      <c r="J792" s="2324"/>
      <c r="K792" s="2326"/>
      <c r="L792" s="2327"/>
      <c r="M792" s="2326"/>
      <c r="N792" s="2326"/>
      <c r="O792" s="2326"/>
      <c r="P792" s="2328" t="s">
        <v>2789</v>
      </c>
      <c r="Q792" s="2326"/>
      <c r="R792" s="2326"/>
      <c r="S792" s="2326"/>
      <c r="T792" s="2326"/>
      <c r="U792" s="2326"/>
    </row>
    <row r="793" spans="2:21" ht="20.25">
      <c r="B793" s="2326"/>
      <c r="C793" s="2326"/>
      <c r="D793" s="2326"/>
      <c r="E793" s="2326"/>
      <c r="F793" s="2326"/>
      <c r="G793" s="2326"/>
      <c r="H793" s="2326"/>
      <c r="I793" s="2326"/>
      <c r="J793" s="2326"/>
      <c r="K793" s="2326"/>
      <c r="L793" s="2327"/>
      <c r="M793" s="2326"/>
      <c r="N793" s="2326"/>
      <c r="O793" s="2326"/>
      <c r="P793" s="2328" t="s">
        <v>2790</v>
      </c>
      <c r="Q793" s="2326"/>
      <c r="R793" s="2326"/>
      <c r="S793" s="2326"/>
      <c r="T793" s="2326"/>
      <c r="U793" s="2326"/>
    </row>
    <row r="794" spans="2:21" ht="20.25">
      <c r="B794" s="2911" t="s">
        <v>2749</v>
      </c>
      <c r="C794" s="2962"/>
      <c r="D794" s="2962"/>
      <c r="E794" s="2962"/>
      <c r="F794" s="2962"/>
      <c r="G794" s="2962"/>
      <c r="H794" s="2962"/>
      <c r="I794" s="1586"/>
      <c r="J794" s="1586"/>
      <c r="K794" s="1586"/>
      <c r="L794" s="1586"/>
      <c r="M794" s="1586"/>
      <c r="N794" s="1586"/>
      <c r="O794" s="2314"/>
      <c r="P794" s="2314"/>
      <c r="Q794" s="2314"/>
      <c r="R794" s="1586"/>
      <c r="S794" s="1586"/>
      <c r="T794" s="1586"/>
      <c r="U794" s="1586"/>
    </row>
    <row r="795" spans="2:21" ht="15">
      <c r="B795" s="2330"/>
      <c r="C795" s="1586"/>
      <c r="D795" s="1586"/>
      <c r="E795" s="1586"/>
      <c r="F795" s="1586"/>
      <c r="G795" s="1586"/>
      <c r="H795" s="1586"/>
      <c r="I795" s="1586"/>
      <c r="J795" s="1586"/>
      <c r="K795" s="1586"/>
      <c r="L795" s="1586"/>
      <c r="M795" s="1586"/>
      <c r="N795" s="1586"/>
      <c r="O795" s="2314"/>
      <c r="P795" s="2314"/>
      <c r="Q795" s="2314"/>
      <c r="R795" s="1586"/>
      <c r="S795" s="1586"/>
      <c r="T795" s="1586"/>
      <c r="U795" s="1586"/>
    </row>
    <row r="796" spans="2:21" ht="15">
      <c r="B796" s="2912" t="s">
        <v>653</v>
      </c>
      <c r="C796" s="2914"/>
      <c r="D796" s="2914"/>
      <c r="E796" s="1586"/>
      <c r="F796" s="2315">
        <v>2020</v>
      </c>
      <c r="G796" s="1586"/>
      <c r="H796" s="1586"/>
      <c r="I796" s="1586"/>
      <c r="J796" s="1586"/>
      <c r="K796" s="1586"/>
      <c r="L796" s="1586"/>
      <c r="M796" s="1586"/>
      <c r="N796" s="1586"/>
      <c r="O796" s="2314"/>
      <c r="P796" s="2314"/>
      <c r="Q796" s="2314"/>
      <c r="R796" s="1586"/>
      <c r="S796" s="1586"/>
      <c r="T796" s="1586"/>
      <c r="U796" s="1586"/>
    </row>
    <row r="797" spans="2:21" ht="15.75">
      <c r="B797" s="2331"/>
      <c r="C797" s="1586"/>
      <c r="D797" s="1586"/>
      <c r="E797" s="1586"/>
      <c r="F797" s="2315"/>
      <c r="G797" s="1586"/>
      <c r="H797" s="1586"/>
      <c r="I797" s="1586"/>
      <c r="J797" s="1586"/>
      <c r="K797" s="1586"/>
      <c r="L797" s="1586"/>
      <c r="M797" s="1586"/>
      <c r="N797" s="1586"/>
      <c r="O797" s="2314"/>
      <c r="P797" s="2314"/>
      <c r="Q797" s="2314"/>
      <c r="R797" s="1586"/>
      <c r="S797" s="1586"/>
      <c r="T797" s="1586"/>
      <c r="U797" s="1586"/>
    </row>
    <row r="798" spans="2:21" ht="15">
      <c r="B798" s="2912" t="s">
        <v>655</v>
      </c>
      <c r="C798" s="2914"/>
      <c r="D798" s="2914"/>
      <c r="E798" s="1586"/>
      <c r="F798" s="2913" t="s">
        <v>2996</v>
      </c>
      <c r="G798" s="2914"/>
      <c r="H798" s="2914"/>
      <c r="I798" s="2914"/>
      <c r="J798" s="2914"/>
      <c r="K798" s="1586"/>
      <c r="L798" s="1586"/>
      <c r="M798" s="1586"/>
      <c r="N798" s="1586"/>
      <c r="O798" s="2314"/>
      <c r="P798" s="2314"/>
      <c r="Q798" s="2314"/>
      <c r="R798" s="1586"/>
      <c r="S798" s="1586"/>
      <c r="T798" s="1586"/>
      <c r="U798" s="1586"/>
    </row>
    <row r="799" spans="2:21" ht="94.5">
      <c r="B799" s="2316"/>
      <c r="C799" s="2266" t="s">
        <v>657</v>
      </c>
      <c r="D799" s="2893" t="s">
        <v>587</v>
      </c>
      <c r="E799" s="2909"/>
      <c r="F799" s="2909"/>
      <c r="G799" s="2910"/>
      <c r="H799" s="2893" t="s">
        <v>2751</v>
      </c>
      <c r="I799" s="2910"/>
      <c r="J799" s="2893" t="s">
        <v>2752</v>
      </c>
      <c r="K799" s="2910"/>
      <c r="L799" s="2266" t="s">
        <v>2753</v>
      </c>
      <c r="M799" s="2266" t="s">
        <v>2754</v>
      </c>
      <c r="N799" s="2266" t="s">
        <v>2755</v>
      </c>
      <c r="O799" s="2267" t="s">
        <v>2756</v>
      </c>
      <c r="P799" s="2267" t="s">
        <v>2757</v>
      </c>
      <c r="Q799" s="2267" t="s">
        <v>2758</v>
      </c>
      <c r="R799" s="2266" t="s">
        <v>623</v>
      </c>
      <c r="S799" s="2266" t="s">
        <v>2759</v>
      </c>
      <c r="T799" s="2266" t="s">
        <v>2760</v>
      </c>
      <c r="U799" s="2266" t="s">
        <v>2761</v>
      </c>
    </row>
    <row r="800" spans="2:21" ht="90">
      <c r="B800" s="2316"/>
      <c r="C800" s="2268">
        <v>1</v>
      </c>
      <c r="D800" s="2882" t="s">
        <v>2997</v>
      </c>
      <c r="E800" s="2905"/>
      <c r="F800" s="2905"/>
      <c r="G800" s="2906"/>
      <c r="H800" s="2882" t="s">
        <v>1504</v>
      </c>
      <c r="I800" s="2906"/>
      <c r="J800" s="2882" t="s">
        <v>2762</v>
      </c>
      <c r="K800" s="2906"/>
      <c r="L800" s="2268" t="s">
        <v>2763</v>
      </c>
      <c r="M800" s="2268" t="s">
        <v>2764</v>
      </c>
      <c r="N800" s="2268" t="s">
        <v>2765</v>
      </c>
      <c r="O800" s="2269">
        <v>30000</v>
      </c>
      <c r="P800" s="2270" t="s">
        <v>2766</v>
      </c>
      <c r="Q800" s="2270">
        <v>30000</v>
      </c>
      <c r="R800" s="2268"/>
      <c r="S800" s="2268" t="s">
        <v>2767</v>
      </c>
      <c r="T800" s="2268" t="s">
        <v>2768</v>
      </c>
      <c r="U800" s="2268"/>
    </row>
    <row r="801" spans="2:21" ht="30">
      <c r="B801" s="2316"/>
      <c r="C801" s="2271" t="s">
        <v>676</v>
      </c>
      <c r="D801" s="2888" t="s">
        <v>676</v>
      </c>
      <c r="E801" s="2907"/>
      <c r="F801" s="2907"/>
      <c r="G801" s="2908"/>
      <c r="H801" s="2888" t="s">
        <v>676</v>
      </c>
      <c r="I801" s="2908"/>
      <c r="J801" s="2888" t="s">
        <v>676</v>
      </c>
      <c r="K801" s="2908"/>
      <c r="L801" s="2271" t="s">
        <v>676</v>
      </c>
      <c r="M801" s="2271" t="s">
        <v>676</v>
      </c>
      <c r="N801" s="2271" t="s">
        <v>676</v>
      </c>
      <c r="O801" s="2272" t="s">
        <v>676</v>
      </c>
      <c r="P801" s="2270" t="s">
        <v>2769</v>
      </c>
      <c r="Q801" s="2270">
        <v>0</v>
      </c>
      <c r="R801" s="2271" t="s">
        <v>676</v>
      </c>
      <c r="S801" s="2271" t="s">
        <v>676</v>
      </c>
      <c r="T801" s="2271" t="s">
        <v>676</v>
      </c>
      <c r="U801" s="2271" t="s">
        <v>676</v>
      </c>
    </row>
    <row r="802" spans="2:21" ht="30">
      <c r="B802" s="2316"/>
      <c r="C802" s="2271" t="s">
        <v>676</v>
      </c>
      <c r="D802" s="2891" t="s">
        <v>676</v>
      </c>
      <c r="E802" s="2907"/>
      <c r="F802" s="2907"/>
      <c r="G802" s="2908"/>
      <c r="H802" s="2892" t="s">
        <v>676</v>
      </c>
      <c r="I802" s="2907"/>
      <c r="J802" s="2888" t="s">
        <v>676</v>
      </c>
      <c r="K802" s="2908"/>
      <c r="L802" s="2271" t="s">
        <v>676</v>
      </c>
      <c r="M802" s="2271" t="s">
        <v>676</v>
      </c>
      <c r="N802" s="2271" t="s">
        <v>676</v>
      </c>
      <c r="O802" s="2272" t="s">
        <v>676</v>
      </c>
      <c r="P802" s="2270" t="s">
        <v>2770</v>
      </c>
      <c r="Q802" s="2270">
        <v>0</v>
      </c>
      <c r="R802" s="2271" t="s">
        <v>676</v>
      </c>
      <c r="S802" s="2271" t="s">
        <v>676</v>
      </c>
      <c r="T802" s="2271" t="s">
        <v>676</v>
      </c>
      <c r="U802" s="2271" t="s">
        <v>676</v>
      </c>
    </row>
    <row r="803" spans="2:21" ht="60">
      <c r="B803" s="2316"/>
      <c r="C803" s="2268">
        <v>2</v>
      </c>
      <c r="D803" s="2882" t="s">
        <v>2998</v>
      </c>
      <c r="E803" s="2905"/>
      <c r="F803" s="2905"/>
      <c r="G803" s="2906"/>
      <c r="H803" s="2882" t="s">
        <v>2999</v>
      </c>
      <c r="I803" s="2906"/>
      <c r="J803" s="2882" t="s">
        <v>2762</v>
      </c>
      <c r="K803" s="2906"/>
      <c r="L803" s="2268" t="s">
        <v>2763</v>
      </c>
      <c r="M803" s="2268" t="s">
        <v>2764</v>
      </c>
      <c r="N803" s="2268" t="s">
        <v>2776</v>
      </c>
      <c r="O803" s="2269">
        <v>4368000</v>
      </c>
      <c r="P803" s="2270" t="s">
        <v>2766</v>
      </c>
      <c r="Q803" s="2270">
        <v>4368000</v>
      </c>
      <c r="R803" s="2268" t="s">
        <v>892</v>
      </c>
      <c r="S803" s="2268" t="s">
        <v>2777</v>
      </c>
      <c r="T803" s="2268" t="s">
        <v>2768</v>
      </c>
      <c r="U803" s="2268" t="s">
        <v>3000</v>
      </c>
    </row>
    <row r="804" spans="2:21" ht="30">
      <c r="B804" s="2316"/>
      <c r="C804" s="2271" t="s">
        <v>676</v>
      </c>
      <c r="D804" s="2888" t="s">
        <v>676</v>
      </c>
      <c r="E804" s="2907"/>
      <c r="F804" s="2907"/>
      <c r="G804" s="2908"/>
      <c r="H804" s="2888" t="s">
        <v>676</v>
      </c>
      <c r="I804" s="2908"/>
      <c r="J804" s="2888" t="s">
        <v>676</v>
      </c>
      <c r="K804" s="2908"/>
      <c r="L804" s="2271" t="s">
        <v>676</v>
      </c>
      <c r="M804" s="2271" t="s">
        <v>676</v>
      </c>
      <c r="N804" s="2271" t="s">
        <v>676</v>
      </c>
      <c r="O804" s="2272" t="s">
        <v>676</v>
      </c>
      <c r="P804" s="2270" t="s">
        <v>2769</v>
      </c>
      <c r="Q804" s="2270">
        <v>0</v>
      </c>
      <c r="R804" s="2271" t="s">
        <v>676</v>
      </c>
      <c r="S804" s="2271" t="s">
        <v>676</v>
      </c>
      <c r="T804" s="2271" t="s">
        <v>676</v>
      </c>
      <c r="U804" s="2271" t="s">
        <v>676</v>
      </c>
    </row>
    <row r="805" spans="2:21" ht="30">
      <c r="B805" s="2316"/>
      <c r="C805" s="2271" t="s">
        <v>676</v>
      </c>
      <c r="D805" s="2891" t="s">
        <v>676</v>
      </c>
      <c r="E805" s="2907"/>
      <c r="F805" s="2907"/>
      <c r="G805" s="2908"/>
      <c r="H805" s="2892" t="s">
        <v>676</v>
      </c>
      <c r="I805" s="2907"/>
      <c r="J805" s="2888" t="s">
        <v>676</v>
      </c>
      <c r="K805" s="2908"/>
      <c r="L805" s="2271" t="s">
        <v>676</v>
      </c>
      <c r="M805" s="2271" t="s">
        <v>676</v>
      </c>
      <c r="N805" s="2271" t="s">
        <v>676</v>
      </c>
      <c r="O805" s="2272" t="s">
        <v>676</v>
      </c>
      <c r="P805" s="2270" t="s">
        <v>2770</v>
      </c>
      <c r="Q805" s="2270">
        <v>0</v>
      </c>
      <c r="R805" s="2271" t="s">
        <v>676</v>
      </c>
      <c r="S805" s="2271" t="s">
        <v>676</v>
      </c>
      <c r="T805" s="2271" t="s">
        <v>676</v>
      </c>
      <c r="U805" s="2271" t="s">
        <v>676</v>
      </c>
    </row>
    <row r="806" spans="2:21" ht="60">
      <c r="B806" s="2316"/>
      <c r="C806" s="2268">
        <v>3</v>
      </c>
      <c r="D806" s="2882" t="s">
        <v>1676</v>
      </c>
      <c r="E806" s="2905"/>
      <c r="F806" s="2905"/>
      <c r="G806" s="2906"/>
      <c r="H806" s="2882" t="s">
        <v>699</v>
      </c>
      <c r="I806" s="2906"/>
      <c r="J806" s="2882" t="s">
        <v>2762</v>
      </c>
      <c r="K806" s="2906"/>
      <c r="L806" s="2268" t="s">
        <v>2763</v>
      </c>
      <c r="M806" s="2268" t="s">
        <v>2775</v>
      </c>
      <c r="N806" s="2268" t="s">
        <v>2776</v>
      </c>
      <c r="O806" s="2269">
        <v>200000</v>
      </c>
      <c r="P806" s="2270" t="s">
        <v>2766</v>
      </c>
      <c r="Q806" s="2270">
        <v>200000</v>
      </c>
      <c r="R806" s="2268" t="s">
        <v>688</v>
      </c>
      <c r="S806" s="2268" t="s">
        <v>2919</v>
      </c>
      <c r="T806" s="2268" t="s">
        <v>2768</v>
      </c>
      <c r="U806" s="2268"/>
    </row>
    <row r="807" spans="2:21" ht="30">
      <c r="B807" s="2316"/>
      <c r="C807" s="2271" t="s">
        <v>676</v>
      </c>
      <c r="D807" s="2888" t="s">
        <v>676</v>
      </c>
      <c r="E807" s="2907"/>
      <c r="F807" s="2907"/>
      <c r="G807" s="2908"/>
      <c r="H807" s="2888" t="s">
        <v>676</v>
      </c>
      <c r="I807" s="2908"/>
      <c r="J807" s="2888" t="s">
        <v>676</v>
      </c>
      <c r="K807" s="2908"/>
      <c r="L807" s="2271" t="s">
        <v>676</v>
      </c>
      <c r="M807" s="2271" t="s">
        <v>676</v>
      </c>
      <c r="N807" s="2271" t="s">
        <v>676</v>
      </c>
      <c r="O807" s="2272" t="s">
        <v>676</v>
      </c>
      <c r="P807" s="2270" t="s">
        <v>2769</v>
      </c>
      <c r="Q807" s="2270">
        <v>0</v>
      </c>
      <c r="R807" s="2271" t="s">
        <v>676</v>
      </c>
      <c r="S807" s="2271" t="s">
        <v>676</v>
      </c>
      <c r="T807" s="2271" t="s">
        <v>676</v>
      </c>
      <c r="U807" s="2271" t="s">
        <v>676</v>
      </c>
    </row>
    <row r="808" spans="2:21" ht="30">
      <c r="B808" s="2316"/>
      <c r="C808" s="2271" t="s">
        <v>676</v>
      </c>
      <c r="D808" s="2891" t="s">
        <v>676</v>
      </c>
      <c r="E808" s="2907"/>
      <c r="F808" s="2907"/>
      <c r="G808" s="2908"/>
      <c r="H808" s="2892" t="s">
        <v>676</v>
      </c>
      <c r="I808" s="2907"/>
      <c r="J808" s="2888" t="s">
        <v>676</v>
      </c>
      <c r="K808" s="2908"/>
      <c r="L808" s="2271" t="s">
        <v>676</v>
      </c>
      <c r="M808" s="2271" t="s">
        <v>676</v>
      </c>
      <c r="N808" s="2271" t="s">
        <v>676</v>
      </c>
      <c r="O808" s="2272" t="s">
        <v>676</v>
      </c>
      <c r="P808" s="2270" t="s">
        <v>2770</v>
      </c>
      <c r="Q808" s="2270">
        <v>0</v>
      </c>
      <c r="R808" s="2271" t="s">
        <v>676</v>
      </c>
      <c r="S808" s="2271" t="s">
        <v>676</v>
      </c>
      <c r="T808" s="2271" t="s">
        <v>676</v>
      </c>
      <c r="U808" s="2271" t="s">
        <v>676</v>
      </c>
    </row>
    <row r="809" spans="2:21" ht="90">
      <c r="B809" s="2316"/>
      <c r="C809" s="2268">
        <v>4</v>
      </c>
      <c r="D809" s="2882" t="s">
        <v>3001</v>
      </c>
      <c r="E809" s="2905"/>
      <c r="F809" s="2905"/>
      <c r="G809" s="2906"/>
      <c r="H809" s="2882" t="s">
        <v>717</v>
      </c>
      <c r="I809" s="2906"/>
      <c r="J809" s="2882" t="s">
        <v>2762</v>
      </c>
      <c r="K809" s="2906"/>
      <c r="L809" s="2268" t="s">
        <v>2763</v>
      </c>
      <c r="M809" s="2268" t="s">
        <v>2775</v>
      </c>
      <c r="N809" s="2268" t="s">
        <v>2765</v>
      </c>
      <c r="O809" s="2269">
        <v>20000</v>
      </c>
      <c r="P809" s="2270" t="s">
        <v>2766</v>
      </c>
      <c r="Q809" s="2270">
        <v>20000</v>
      </c>
      <c r="R809" s="2268"/>
      <c r="S809" s="2268" t="s">
        <v>2767</v>
      </c>
      <c r="T809" s="2268" t="s">
        <v>2768</v>
      </c>
      <c r="U809" s="2268"/>
    </row>
    <row r="810" spans="2:21" ht="30">
      <c r="B810" s="2316"/>
      <c r="C810" s="2271" t="s">
        <v>676</v>
      </c>
      <c r="D810" s="2888" t="s">
        <v>676</v>
      </c>
      <c r="E810" s="2907"/>
      <c r="F810" s="2907"/>
      <c r="G810" s="2908"/>
      <c r="H810" s="2888" t="s">
        <v>676</v>
      </c>
      <c r="I810" s="2908"/>
      <c r="J810" s="2888" t="s">
        <v>676</v>
      </c>
      <c r="K810" s="2908"/>
      <c r="L810" s="2271" t="s">
        <v>676</v>
      </c>
      <c r="M810" s="2271" t="s">
        <v>676</v>
      </c>
      <c r="N810" s="2271" t="s">
        <v>676</v>
      </c>
      <c r="O810" s="2272" t="s">
        <v>676</v>
      </c>
      <c r="P810" s="2270" t="s">
        <v>2769</v>
      </c>
      <c r="Q810" s="2270">
        <v>0</v>
      </c>
      <c r="R810" s="2271" t="s">
        <v>676</v>
      </c>
      <c r="S810" s="2271" t="s">
        <v>676</v>
      </c>
      <c r="T810" s="2271" t="s">
        <v>676</v>
      </c>
      <c r="U810" s="2271" t="s">
        <v>676</v>
      </c>
    </row>
    <row r="811" spans="2:21" ht="30">
      <c r="B811" s="2316"/>
      <c r="C811" s="2271" t="s">
        <v>676</v>
      </c>
      <c r="D811" s="2891" t="s">
        <v>676</v>
      </c>
      <c r="E811" s="2907"/>
      <c r="F811" s="2907"/>
      <c r="G811" s="2908"/>
      <c r="H811" s="2892" t="s">
        <v>676</v>
      </c>
      <c r="I811" s="2907"/>
      <c r="J811" s="2888" t="s">
        <v>676</v>
      </c>
      <c r="K811" s="2908"/>
      <c r="L811" s="2271" t="s">
        <v>676</v>
      </c>
      <c r="M811" s="2271" t="s">
        <v>676</v>
      </c>
      <c r="N811" s="2271" t="s">
        <v>676</v>
      </c>
      <c r="O811" s="2272" t="s">
        <v>676</v>
      </c>
      <c r="P811" s="2270" t="s">
        <v>2770</v>
      </c>
      <c r="Q811" s="2270">
        <v>0</v>
      </c>
      <c r="R811" s="2271" t="s">
        <v>676</v>
      </c>
      <c r="S811" s="2271" t="s">
        <v>676</v>
      </c>
      <c r="T811" s="2271" t="s">
        <v>676</v>
      </c>
      <c r="U811" s="2271" t="s">
        <v>676</v>
      </c>
    </row>
    <row r="812" spans="2:21" ht="90">
      <c r="B812" s="2316"/>
      <c r="C812" s="2268">
        <v>5</v>
      </c>
      <c r="D812" s="2882" t="s">
        <v>172</v>
      </c>
      <c r="E812" s="2905"/>
      <c r="F812" s="2905"/>
      <c r="G812" s="2906"/>
      <c r="H812" s="2882" t="s">
        <v>3002</v>
      </c>
      <c r="I812" s="2906"/>
      <c r="J812" s="2882" t="s">
        <v>2762</v>
      </c>
      <c r="K812" s="2906"/>
      <c r="L812" s="2268" t="s">
        <v>2763</v>
      </c>
      <c r="M812" s="2268" t="s">
        <v>2775</v>
      </c>
      <c r="N812" s="2268" t="s">
        <v>2765</v>
      </c>
      <c r="O812" s="2269">
        <v>40000</v>
      </c>
      <c r="P812" s="2270" t="s">
        <v>2766</v>
      </c>
      <c r="Q812" s="2270">
        <v>40000</v>
      </c>
      <c r="R812" s="2268"/>
      <c r="S812" s="2268" t="s">
        <v>2767</v>
      </c>
      <c r="T812" s="2268" t="s">
        <v>2768</v>
      </c>
      <c r="U812" s="2268"/>
    </row>
    <row r="813" spans="2:21" ht="30">
      <c r="B813" s="2316"/>
      <c r="C813" s="2271" t="s">
        <v>676</v>
      </c>
      <c r="D813" s="2888" t="s">
        <v>676</v>
      </c>
      <c r="E813" s="2907"/>
      <c r="F813" s="2907"/>
      <c r="G813" s="2908"/>
      <c r="H813" s="2888" t="s">
        <v>676</v>
      </c>
      <c r="I813" s="2908"/>
      <c r="J813" s="2888" t="s">
        <v>676</v>
      </c>
      <c r="K813" s="2908"/>
      <c r="L813" s="2271" t="s">
        <v>676</v>
      </c>
      <c r="M813" s="2271" t="s">
        <v>676</v>
      </c>
      <c r="N813" s="2271" t="s">
        <v>676</v>
      </c>
      <c r="O813" s="2272" t="s">
        <v>676</v>
      </c>
      <c r="P813" s="2270" t="s">
        <v>2769</v>
      </c>
      <c r="Q813" s="2270">
        <v>0</v>
      </c>
      <c r="R813" s="2271" t="s">
        <v>676</v>
      </c>
      <c r="S813" s="2271" t="s">
        <v>676</v>
      </c>
      <c r="T813" s="2271" t="s">
        <v>676</v>
      </c>
      <c r="U813" s="2271" t="s">
        <v>676</v>
      </c>
    </row>
    <row r="814" spans="2:21" ht="30">
      <c r="B814" s="2316"/>
      <c r="C814" s="2271" t="s">
        <v>676</v>
      </c>
      <c r="D814" s="2891" t="s">
        <v>676</v>
      </c>
      <c r="E814" s="2907"/>
      <c r="F814" s="2907"/>
      <c r="G814" s="2908"/>
      <c r="H814" s="2892" t="s">
        <v>676</v>
      </c>
      <c r="I814" s="2907"/>
      <c r="J814" s="2888" t="s">
        <v>676</v>
      </c>
      <c r="K814" s="2908"/>
      <c r="L814" s="2271" t="s">
        <v>676</v>
      </c>
      <c r="M814" s="2271" t="s">
        <v>676</v>
      </c>
      <c r="N814" s="2271" t="s">
        <v>676</v>
      </c>
      <c r="O814" s="2272" t="s">
        <v>676</v>
      </c>
      <c r="P814" s="2270" t="s">
        <v>2770</v>
      </c>
      <c r="Q814" s="2270">
        <v>0</v>
      </c>
      <c r="R814" s="2271" t="s">
        <v>676</v>
      </c>
      <c r="S814" s="2271" t="s">
        <v>676</v>
      </c>
      <c r="T814" s="2271" t="s">
        <v>676</v>
      </c>
      <c r="U814" s="2271" t="s">
        <v>676</v>
      </c>
    </row>
    <row r="815" spans="2:21" ht="90">
      <c r="B815" s="2316"/>
      <c r="C815" s="2268">
        <v>6</v>
      </c>
      <c r="D815" s="2882" t="s">
        <v>3003</v>
      </c>
      <c r="E815" s="2905"/>
      <c r="F815" s="2905"/>
      <c r="G815" s="2906"/>
      <c r="H815" s="2882" t="s">
        <v>675</v>
      </c>
      <c r="I815" s="2906"/>
      <c r="J815" s="2882" t="s">
        <v>2762</v>
      </c>
      <c r="K815" s="2906"/>
      <c r="L815" s="2268" t="s">
        <v>2763</v>
      </c>
      <c r="M815" s="2268" t="s">
        <v>2775</v>
      </c>
      <c r="N815" s="2268" t="s">
        <v>2765</v>
      </c>
      <c r="O815" s="2269">
        <v>30000</v>
      </c>
      <c r="P815" s="2270" t="s">
        <v>2766</v>
      </c>
      <c r="Q815" s="2270">
        <v>30000</v>
      </c>
      <c r="R815" s="2268"/>
      <c r="S815" s="2268" t="s">
        <v>2767</v>
      </c>
      <c r="T815" s="2268" t="s">
        <v>2768</v>
      </c>
      <c r="U815" s="2268"/>
    </row>
    <row r="816" spans="2:21" ht="30">
      <c r="B816" s="2316"/>
      <c r="C816" s="2271" t="s">
        <v>676</v>
      </c>
      <c r="D816" s="2888" t="s">
        <v>676</v>
      </c>
      <c r="E816" s="2907"/>
      <c r="F816" s="2907"/>
      <c r="G816" s="2908"/>
      <c r="H816" s="2888" t="s">
        <v>676</v>
      </c>
      <c r="I816" s="2908"/>
      <c r="J816" s="2888" t="s">
        <v>676</v>
      </c>
      <c r="K816" s="2908"/>
      <c r="L816" s="2271" t="s">
        <v>676</v>
      </c>
      <c r="M816" s="2271" t="s">
        <v>676</v>
      </c>
      <c r="N816" s="2271" t="s">
        <v>676</v>
      </c>
      <c r="O816" s="2272" t="s">
        <v>676</v>
      </c>
      <c r="P816" s="2270" t="s">
        <v>2769</v>
      </c>
      <c r="Q816" s="2270">
        <v>0</v>
      </c>
      <c r="R816" s="2271" t="s">
        <v>676</v>
      </c>
      <c r="S816" s="2271" t="s">
        <v>676</v>
      </c>
      <c r="T816" s="2271" t="s">
        <v>676</v>
      </c>
      <c r="U816" s="2271" t="s">
        <v>676</v>
      </c>
    </row>
    <row r="817" spans="2:21" ht="30">
      <c r="B817" s="2316"/>
      <c r="C817" s="2273" t="s">
        <v>676</v>
      </c>
      <c r="D817" s="2896" t="s">
        <v>676</v>
      </c>
      <c r="E817" s="2897"/>
      <c r="F817" s="2897"/>
      <c r="G817" s="2898"/>
      <c r="H817" s="2899" t="s">
        <v>676</v>
      </c>
      <c r="I817" s="2897"/>
      <c r="J817" s="2900" t="s">
        <v>676</v>
      </c>
      <c r="K817" s="2898"/>
      <c r="L817" s="2273" t="s">
        <v>676</v>
      </c>
      <c r="M817" s="2273" t="s">
        <v>676</v>
      </c>
      <c r="N817" s="2273" t="s">
        <v>676</v>
      </c>
      <c r="O817" s="2274" t="s">
        <v>676</v>
      </c>
      <c r="P817" s="2270" t="s">
        <v>2770</v>
      </c>
      <c r="Q817" s="2270">
        <v>0</v>
      </c>
      <c r="R817" s="2273" t="s">
        <v>676</v>
      </c>
      <c r="S817" s="2273" t="s">
        <v>676</v>
      </c>
      <c r="T817" s="2273" t="s">
        <v>676</v>
      </c>
      <c r="U817" s="2273" t="s">
        <v>676</v>
      </c>
    </row>
    <row r="818" spans="2:21" ht="45">
      <c r="B818" s="2332"/>
      <c r="C818" s="2333" t="s">
        <v>82</v>
      </c>
      <c r="D818" s="2311"/>
      <c r="E818" s="2311"/>
      <c r="F818" s="2311"/>
      <c r="G818" s="2311"/>
      <c r="H818" s="2311"/>
      <c r="I818" s="2311"/>
      <c r="J818" s="2311"/>
      <c r="K818" s="2311" t="e">
        <f>SUM(#REF!)</f>
        <v>#REF!</v>
      </c>
      <c r="L818" s="2311"/>
      <c r="M818" s="2311"/>
      <c r="N818" s="2311"/>
      <c r="O818" s="2311">
        <f>SUM(O800:O817)</f>
        <v>4688000</v>
      </c>
      <c r="P818" s="2320"/>
      <c r="Q818" s="2320">
        <f>SUM(Q800:Q817)</f>
        <v>4688000</v>
      </c>
      <c r="R818" s="2320"/>
      <c r="S818" s="2320"/>
      <c r="T818" s="2320"/>
      <c r="U818" s="2334"/>
    </row>
    <row r="819" spans="2:21" ht="20.25">
      <c r="B819" s="2324"/>
      <c r="C819" s="2325"/>
      <c r="D819" s="2324"/>
      <c r="E819" s="2324"/>
      <c r="F819" s="2325"/>
      <c r="G819" s="2324"/>
      <c r="H819" s="2324"/>
      <c r="I819" s="2324"/>
      <c r="J819" s="2324"/>
      <c r="K819" s="2326"/>
      <c r="L819" s="2327"/>
      <c r="M819" s="2326"/>
      <c r="N819" s="2326"/>
      <c r="O819" s="2326"/>
      <c r="P819" s="2328" t="s">
        <v>2789</v>
      </c>
      <c r="Q819" s="2326"/>
      <c r="R819" s="2326"/>
      <c r="S819" s="2326"/>
      <c r="T819" s="2326"/>
      <c r="U819" s="2326"/>
    </row>
    <row r="820" spans="2:21" ht="20.25">
      <c r="B820" s="2326"/>
      <c r="C820" s="2326"/>
      <c r="D820" s="2326"/>
      <c r="E820" s="2326"/>
      <c r="F820" s="2326"/>
      <c r="G820" s="2326"/>
      <c r="H820" s="2326"/>
      <c r="I820" s="2326"/>
      <c r="J820" s="2326"/>
      <c r="K820" s="2326"/>
      <c r="L820" s="2327"/>
      <c r="M820" s="2326"/>
      <c r="N820" s="2326"/>
      <c r="O820" s="2326"/>
      <c r="P820" s="2328" t="s">
        <v>2790</v>
      </c>
      <c r="Q820" s="2326"/>
      <c r="R820" s="2326"/>
      <c r="S820" s="2326"/>
      <c r="T820" s="2326"/>
      <c r="U820" s="2326"/>
    </row>
    <row r="821" spans="2:21" ht="20.25">
      <c r="B821" s="2911" t="s">
        <v>2749</v>
      </c>
      <c r="C821" s="2962"/>
      <c r="D821" s="2962"/>
      <c r="E821" s="2962"/>
      <c r="F821" s="2962"/>
      <c r="G821" s="2962"/>
      <c r="H821" s="2962"/>
      <c r="I821" s="1586"/>
      <c r="J821" s="1586"/>
      <c r="K821" s="1586"/>
      <c r="L821" s="1586"/>
      <c r="M821" s="1586"/>
      <c r="N821" s="1586"/>
      <c r="O821" s="2314"/>
      <c r="P821" s="2314"/>
      <c r="Q821" s="2314"/>
      <c r="R821" s="1586"/>
      <c r="S821" s="1586"/>
      <c r="T821" s="1586"/>
      <c r="U821" s="1586"/>
    </row>
    <row r="822" spans="2:21" ht="15">
      <c r="B822" s="1586"/>
      <c r="C822" s="1586"/>
      <c r="D822" s="1586"/>
      <c r="E822" s="1586"/>
      <c r="F822" s="1586"/>
      <c r="G822" s="1586"/>
      <c r="H822" s="1586"/>
      <c r="I822" s="1586"/>
      <c r="J822" s="1586"/>
      <c r="K822" s="1586"/>
      <c r="L822" s="1586"/>
      <c r="M822" s="1586"/>
      <c r="N822" s="1586"/>
      <c r="O822" s="2314"/>
      <c r="P822" s="2314"/>
      <c r="Q822" s="2314"/>
      <c r="R822" s="1586"/>
      <c r="S822" s="1586"/>
      <c r="T822" s="1586"/>
      <c r="U822" s="1586"/>
    </row>
    <row r="823" spans="2:21" ht="15">
      <c r="B823" s="2912" t="s">
        <v>653</v>
      </c>
      <c r="C823" s="2914"/>
      <c r="D823" s="2914"/>
      <c r="E823" s="1586"/>
      <c r="F823" s="2315">
        <v>2020</v>
      </c>
      <c r="G823" s="1586"/>
      <c r="H823" s="1586"/>
      <c r="I823" s="1586"/>
      <c r="J823" s="1586"/>
      <c r="K823" s="1586"/>
      <c r="L823" s="1586"/>
      <c r="M823" s="1586"/>
      <c r="N823" s="1586"/>
      <c r="O823" s="2314"/>
      <c r="P823" s="2314"/>
      <c r="Q823" s="2314"/>
      <c r="R823" s="1586"/>
      <c r="S823" s="1586"/>
      <c r="T823" s="1586"/>
      <c r="U823" s="1586"/>
    </row>
    <row r="824" spans="2:21" ht="15">
      <c r="B824" s="1586"/>
      <c r="C824" s="1586"/>
      <c r="D824" s="1586"/>
      <c r="E824" s="1586"/>
      <c r="F824" s="1586"/>
      <c r="G824" s="1586"/>
      <c r="H824" s="1586"/>
      <c r="I824" s="1586"/>
      <c r="J824" s="1586"/>
      <c r="K824" s="1586"/>
      <c r="L824" s="1586"/>
      <c r="M824" s="1586"/>
      <c r="N824" s="1586"/>
      <c r="O824" s="2314"/>
      <c r="P824" s="2314"/>
      <c r="Q824" s="2314"/>
      <c r="R824" s="1586"/>
      <c r="S824" s="1586"/>
      <c r="T824" s="1586"/>
      <c r="U824" s="1586"/>
    </row>
    <row r="825" spans="2:21" ht="15">
      <c r="B825" s="2912" t="s">
        <v>655</v>
      </c>
      <c r="C825" s="2914"/>
      <c r="D825" s="2914"/>
      <c r="E825" s="1586"/>
      <c r="F825" s="2913" t="s">
        <v>3004</v>
      </c>
      <c r="G825" s="2914"/>
      <c r="H825" s="2914"/>
      <c r="I825" s="2914"/>
      <c r="J825" s="2914"/>
      <c r="K825" s="1586"/>
      <c r="L825" s="1586"/>
      <c r="M825" s="1586"/>
      <c r="N825" s="1586"/>
      <c r="O825" s="2314"/>
      <c r="P825" s="2314"/>
      <c r="Q825" s="2314"/>
      <c r="R825" s="1586"/>
      <c r="S825" s="1586"/>
      <c r="T825" s="1586"/>
      <c r="U825" s="1586"/>
    </row>
    <row r="826" spans="2:21" ht="15">
      <c r="B826" s="1586"/>
      <c r="C826" s="1586"/>
      <c r="D826" s="1586"/>
      <c r="E826" s="1586"/>
      <c r="F826" s="1586"/>
      <c r="G826" s="1586"/>
      <c r="H826" s="1586"/>
      <c r="I826" s="1586"/>
      <c r="J826" s="1586"/>
      <c r="K826" s="1586"/>
      <c r="L826" s="1586"/>
      <c r="M826" s="1586"/>
      <c r="N826" s="1586"/>
      <c r="O826" s="2314"/>
      <c r="P826" s="2314"/>
      <c r="Q826" s="2314"/>
      <c r="R826" s="1586"/>
      <c r="S826" s="1586"/>
      <c r="T826" s="1586"/>
      <c r="U826" s="1586"/>
    </row>
    <row r="827" spans="2:21" ht="94.5">
      <c r="B827" s="2316"/>
      <c r="C827" s="2266" t="s">
        <v>657</v>
      </c>
      <c r="D827" s="2893" t="s">
        <v>587</v>
      </c>
      <c r="E827" s="2909"/>
      <c r="F827" s="2909"/>
      <c r="G827" s="2910"/>
      <c r="H827" s="2893" t="s">
        <v>2751</v>
      </c>
      <c r="I827" s="2910"/>
      <c r="J827" s="2893" t="s">
        <v>2752</v>
      </c>
      <c r="K827" s="2910"/>
      <c r="L827" s="2266" t="s">
        <v>2753</v>
      </c>
      <c r="M827" s="2266" t="s">
        <v>2754</v>
      </c>
      <c r="N827" s="2266" t="s">
        <v>2755</v>
      </c>
      <c r="O827" s="2267" t="s">
        <v>2756</v>
      </c>
      <c r="P827" s="2267" t="s">
        <v>2757</v>
      </c>
      <c r="Q827" s="2267" t="s">
        <v>2758</v>
      </c>
      <c r="R827" s="2266" t="s">
        <v>623</v>
      </c>
      <c r="S827" s="2266" t="s">
        <v>2759</v>
      </c>
      <c r="T827" s="2266" t="s">
        <v>2760</v>
      </c>
      <c r="U827" s="2266" t="s">
        <v>2761</v>
      </c>
    </row>
    <row r="828" spans="2:21" ht="90">
      <c r="B828" s="2316"/>
      <c r="C828" s="2268">
        <v>1</v>
      </c>
      <c r="D828" s="2882" t="s">
        <v>3005</v>
      </c>
      <c r="E828" s="2905"/>
      <c r="F828" s="2905"/>
      <c r="G828" s="2906"/>
      <c r="H828" s="2882" t="s">
        <v>3006</v>
      </c>
      <c r="I828" s="2906"/>
      <c r="J828" s="2882" t="s">
        <v>2762</v>
      </c>
      <c r="K828" s="2906"/>
      <c r="L828" s="2268" t="s">
        <v>2763</v>
      </c>
      <c r="M828" s="2268" t="s">
        <v>2764</v>
      </c>
      <c r="N828" s="2268" t="s">
        <v>2765</v>
      </c>
      <c r="O828" s="2269">
        <v>10000</v>
      </c>
      <c r="P828" s="2270" t="s">
        <v>2766</v>
      </c>
      <c r="Q828" s="2270">
        <v>10000</v>
      </c>
      <c r="R828" s="2268"/>
      <c r="S828" s="2268" t="s">
        <v>2928</v>
      </c>
      <c r="T828" s="2268" t="s">
        <v>2768</v>
      </c>
      <c r="U828" s="1586"/>
    </row>
    <row r="829" spans="2:21" ht="30">
      <c r="B829" s="2316"/>
      <c r="C829" s="2271" t="s">
        <v>676</v>
      </c>
      <c r="D829" s="2888" t="s">
        <v>676</v>
      </c>
      <c r="E829" s="2907"/>
      <c r="F829" s="2907"/>
      <c r="G829" s="2908"/>
      <c r="H829" s="2888" t="s">
        <v>676</v>
      </c>
      <c r="I829" s="2908"/>
      <c r="J829" s="2888" t="s">
        <v>676</v>
      </c>
      <c r="K829" s="2908"/>
      <c r="L829" s="2271" t="s">
        <v>676</v>
      </c>
      <c r="M829" s="2271" t="s">
        <v>676</v>
      </c>
      <c r="N829" s="2271" t="s">
        <v>676</v>
      </c>
      <c r="O829" s="2272" t="s">
        <v>676</v>
      </c>
      <c r="P829" s="2270" t="s">
        <v>2769</v>
      </c>
      <c r="Q829" s="2270">
        <v>0</v>
      </c>
      <c r="R829" s="2271" t="s">
        <v>676</v>
      </c>
      <c r="S829" s="2271" t="s">
        <v>676</v>
      </c>
      <c r="T829" s="2271" t="s">
        <v>676</v>
      </c>
      <c r="U829" s="1586"/>
    </row>
    <row r="830" spans="2:21" ht="30">
      <c r="B830" s="2316"/>
      <c r="C830" s="2271" t="s">
        <v>676</v>
      </c>
      <c r="D830" s="2891" t="s">
        <v>676</v>
      </c>
      <c r="E830" s="2907"/>
      <c r="F830" s="2907"/>
      <c r="G830" s="2908"/>
      <c r="H830" s="2892" t="s">
        <v>676</v>
      </c>
      <c r="I830" s="2907"/>
      <c r="J830" s="2888" t="s">
        <v>676</v>
      </c>
      <c r="K830" s="2908"/>
      <c r="L830" s="2271" t="s">
        <v>676</v>
      </c>
      <c r="M830" s="2271" t="s">
        <v>676</v>
      </c>
      <c r="N830" s="2271" t="s">
        <v>676</v>
      </c>
      <c r="O830" s="2272" t="s">
        <v>676</v>
      </c>
      <c r="P830" s="2270" t="s">
        <v>2770</v>
      </c>
      <c r="Q830" s="2270">
        <v>0</v>
      </c>
      <c r="R830" s="2271" t="s">
        <v>676</v>
      </c>
      <c r="S830" s="2271" t="s">
        <v>676</v>
      </c>
      <c r="T830" s="2271" t="s">
        <v>676</v>
      </c>
      <c r="U830" s="1586"/>
    </row>
    <row r="831" spans="2:21" ht="90">
      <c r="B831" s="2316"/>
      <c r="C831" s="2268">
        <v>2</v>
      </c>
      <c r="D831" s="2882" t="s">
        <v>3007</v>
      </c>
      <c r="E831" s="2905"/>
      <c r="F831" s="2905"/>
      <c r="G831" s="2906"/>
      <c r="H831" s="2882" t="s">
        <v>3008</v>
      </c>
      <c r="I831" s="2906"/>
      <c r="J831" s="2882" t="s">
        <v>2762</v>
      </c>
      <c r="K831" s="2906"/>
      <c r="L831" s="2268" t="s">
        <v>2763</v>
      </c>
      <c r="M831" s="2268" t="s">
        <v>2775</v>
      </c>
      <c r="N831" s="2268" t="s">
        <v>2765</v>
      </c>
      <c r="O831" s="2269">
        <v>10000</v>
      </c>
      <c r="P831" s="2270" t="s">
        <v>2766</v>
      </c>
      <c r="Q831" s="2270">
        <v>10000</v>
      </c>
      <c r="R831" s="2268"/>
      <c r="S831" s="2268" t="s">
        <v>2928</v>
      </c>
      <c r="T831" s="2268" t="s">
        <v>2768</v>
      </c>
      <c r="U831" s="1586"/>
    </row>
    <row r="832" spans="2:21" ht="30">
      <c r="B832" s="2316"/>
      <c r="C832" s="2271" t="s">
        <v>676</v>
      </c>
      <c r="D832" s="2888" t="s">
        <v>676</v>
      </c>
      <c r="E832" s="2907"/>
      <c r="F832" s="2907"/>
      <c r="G832" s="2908"/>
      <c r="H832" s="2888" t="s">
        <v>676</v>
      </c>
      <c r="I832" s="2908"/>
      <c r="J832" s="2888" t="s">
        <v>676</v>
      </c>
      <c r="K832" s="2908"/>
      <c r="L832" s="2271" t="s">
        <v>676</v>
      </c>
      <c r="M832" s="2271" t="s">
        <v>676</v>
      </c>
      <c r="N832" s="2271" t="s">
        <v>676</v>
      </c>
      <c r="O832" s="2272" t="s">
        <v>676</v>
      </c>
      <c r="P832" s="2270" t="s">
        <v>2769</v>
      </c>
      <c r="Q832" s="2270">
        <v>0</v>
      </c>
      <c r="R832" s="2271" t="s">
        <v>676</v>
      </c>
      <c r="S832" s="2271" t="s">
        <v>676</v>
      </c>
      <c r="T832" s="2271" t="s">
        <v>676</v>
      </c>
      <c r="U832" s="1586"/>
    </row>
    <row r="833" spans="2:21" ht="30">
      <c r="B833" s="2316"/>
      <c r="C833" s="2271" t="s">
        <v>676</v>
      </c>
      <c r="D833" s="2891" t="s">
        <v>676</v>
      </c>
      <c r="E833" s="2907"/>
      <c r="F833" s="2907"/>
      <c r="G833" s="2908"/>
      <c r="H833" s="2892" t="s">
        <v>676</v>
      </c>
      <c r="I833" s="2907"/>
      <c r="J833" s="2888" t="s">
        <v>676</v>
      </c>
      <c r="K833" s="2908"/>
      <c r="L833" s="2271" t="s">
        <v>676</v>
      </c>
      <c r="M833" s="2271" t="s">
        <v>676</v>
      </c>
      <c r="N833" s="2271" t="s">
        <v>676</v>
      </c>
      <c r="O833" s="2272" t="s">
        <v>676</v>
      </c>
      <c r="P833" s="2270" t="s">
        <v>2770</v>
      </c>
      <c r="Q833" s="2270">
        <v>0</v>
      </c>
      <c r="R833" s="2271" t="s">
        <v>676</v>
      </c>
      <c r="S833" s="2271" t="s">
        <v>676</v>
      </c>
      <c r="T833" s="2271" t="s">
        <v>676</v>
      </c>
      <c r="U833" s="1586"/>
    </row>
    <row r="834" spans="2:21" ht="90">
      <c r="B834" s="2316"/>
      <c r="C834" s="2268">
        <v>3</v>
      </c>
      <c r="D834" s="2882" t="s">
        <v>2230</v>
      </c>
      <c r="E834" s="2905"/>
      <c r="F834" s="2905"/>
      <c r="G834" s="2906"/>
      <c r="H834" s="2882" t="s">
        <v>2231</v>
      </c>
      <c r="I834" s="2906"/>
      <c r="J834" s="2882" t="s">
        <v>2762</v>
      </c>
      <c r="K834" s="2906"/>
      <c r="L834" s="2268" t="s">
        <v>2763</v>
      </c>
      <c r="M834" s="2268" t="s">
        <v>2775</v>
      </c>
      <c r="N834" s="2268" t="s">
        <v>2765</v>
      </c>
      <c r="O834" s="2269">
        <v>20000</v>
      </c>
      <c r="P834" s="2270" t="s">
        <v>2766</v>
      </c>
      <c r="Q834" s="2270">
        <v>20000</v>
      </c>
      <c r="R834" s="2268"/>
      <c r="S834" s="2268" t="s">
        <v>2928</v>
      </c>
      <c r="T834" s="2268" t="s">
        <v>2768</v>
      </c>
      <c r="U834" s="1586"/>
    </row>
    <row r="835" spans="2:21" ht="30">
      <c r="B835" s="2316"/>
      <c r="C835" s="2271" t="s">
        <v>676</v>
      </c>
      <c r="D835" s="2888" t="s">
        <v>676</v>
      </c>
      <c r="E835" s="2907"/>
      <c r="F835" s="2907"/>
      <c r="G835" s="2908"/>
      <c r="H835" s="2888" t="s">
        <v>676</v>
      </c>
      <c r="I835" s="2908"/>
      <c r="J835" s="2888" t="s">
        <v>676</v>
      </c>
      <c r="K835" s="2908"/>
      <c r="L835" s="2271" t="s">
        <v>676</v>
      </c>
      <c r="M835" s="2271" t="s">
        <v>676</v>
      </c>
      <c r="N835" s="2271" t="s">
        <v>676</v>
      </c>
      <c r="O835" s="2272" t="s">
        <v>676</v>
      </c>
      <c r="P835" s="2270" t="s">
        <v>2769</v>
      </c>
      <c r="Q835" s="2270">
        <v>0</v>
      </c>
      <c r="R835" s="2271" t="s">
        <v>676</v>
      </c>
      <c r="S835" s="2271" t="s">
        <v>676</v>
      </c>
      <c r="T835" s="2271" t="s">
        <v>676</v>
      </c>
      <c r="U835" s="1586"/>
    </row>
    <row r="836" spans="2:21" ht="30">
      <c r="B836" s="2316"/>
      <c r="C836" s="2271" t="s">
        <v>676</v>
      </c>
      <c r="D836" s="2891" t="s">
        <v>676</v>
      </c>
      <c r="E836" s="2907"/>
      <c r="F836" s="2907"/>
      <c r="G836" s="2908"/>
      <c r="H836" s="2892" t="s">
        <v>676</v>
      </c>
      <c r="I836" s="2907"/>
      <c r="J836" s="2888" t="s">
        <v>676</v>
      </c>
      <c r="K836" s="2908"/>
      <c r="L836" s="2271" t="s">
        <v>676</v>
      </c>
      <c r="M836" s="2271" t="s">
        <v>676</v>
      </c>
      <c r="N836" s="2271" t="s">
        <v>676</v>
      </c>
      <c r="O836" s="2272" t="s">
        <v>676</v>
      </c>
      <c r="P836" s="2270" t="s">
        <v>2770</v>
      </c>
      <c r="Q836" s="2270">
        <v>0</v>
      </c>
      <c r="R836" s="2271" t="s">
        <v>676</v>
      </c>
      <c r="S836" s="2271" t="s">
        <v>676</v>
      </c>
      <c r="T836" s="2271" t="s">
        <v>676</v>
      </c>
      <c r="U836" s="1586"/>
    </row>
    <row r="837" spans="2:21" ht="90">
      <c r="B837" s="2316"/>
      <c r="C837" s="2268">
        <v>4</v>
      </c>
      <c r="D837" s="2882" t="s">
        <v>3009</v>
      </c>
      <c r="E837" s="2905"/>
      <c r="F837" s="2905"/>
      <c r="G837" s="2906"/>
      <c r="H837" s="2882" t="s">
        <v>3010</v>
      </c>
      <c r="I837" s="2906"/>
      <c r="J837" s="2882" t="s">
        <v>2762</v>
      </c>
      <c r="K837" s="2906"/>
      <c r="L837" s="2268" t="s">
        <v>2763</v>
      </c>
      <c r="M837" s="2268" t="s">
        <v>2775</v>
      </c>
      <c r="N837" s="2268" t="s">
        <v>2765</v>
      </c>
      <c r="O837" s="2269">
        <v>12500</v>
      </c>
      <c r="P837" s="2270" t="s">
        <v>2766</v>
      </c>
      <c r="Q837" s="2270">
        <v>12500</v>
      </c>
      <c r="R837" s="2268"/>
      <c r="S837" s="2268" t="s">
        <v>2767</v>
      </c>
      <c r="T837" s="2268" t="s">
        <v>2768</v>
      </c>
      <c r="U837" s="1586"/>
    </row>
    <row r="838" spans="2:21" ht="30">
      <c r="B838" s="2316"/>
      <c r="C838" s="2271" t="s">
        <v>676</v>
      </c>
      <c r="D838" s="2888" t="s">
        <v>676</v>
      </c>
      <c r="E838" s="2907"/>
      <c r="F838" s="2907"/>
      <c r="G838" s="2908"/>
      <c r="H838" s="2888" t="s">
        <v>676</v>
      </c>
      <c r="I838" s="2908"/>
      <c r="J838" s="2888" t="s">
        <v>676</v>
      </c>
      <c r="K838" s="2908"/>
      <c r="L838" s="2271" t="s">
        <v>676</v>
      </c>
      <c r="M838" s="2271" t="s">
        <v>676</v>
      </c>
      <c r="N838" s="2271" t="s">
        <v>676</v>
      </c>
      <c r="O838" s="2272" t="s">
        <v>676</v>
      </c>
      <c r="P838" s="2270" t="s">
        <v>2769</v>
      </c>
      <c r="Q838" s="2270">
        <v>0</v>
      </c>
      <c r="R838" s="2271" t="s">
        <v>676</v>
      </c>
      <c r="S838" s="2271" t="s">
        <v>676</v>
      </c>
      <c r="T838" s="2271" t="s">
        <v>676</v>
      </c>
      <c r="U838" s="1586"/>
    </row>
    <row r="839" spans="2:21" ht="30">
      <c r="B839" s="2316"/>
      <c r="C839" s="2271" t="s">
        <v>676</v>
      </c>
      <c r="D839" s="2891" t="s">
        <v>676</v>
      </c>
      <c r="E839" s="2907"/>
      <c r="F839" s="2907"/>
      <c r="G839" s="2908"/>
      <c r="H839" s="2892" t="s">
        <v>676</v>
      </c>
      <c r="I839" s="2907"/>
      <c r="J839" s="2888" t="s">
        <v>676</v>
      </c>
      <c r="K839" s="2908"/>
      <c r="L839" s="2271" t="s">
        <v>676</v>
      </c>
      <c r="M839" s="2271" t="s">
        <v>676</v>
      </c>
      <c r="N839" s="2271" t="s">
        <v>676</v>
      </c>
      <c r="O839" s="2272" t="s">
        <v>676</v>
      </c>
      <c r="P839" s="2270" t="s">
        <v>2770</v>
      </c>
      <c r="Q839" s="2270">
        <v>0</v>
      </c>
      <c r="R839" s="2271" t="s">
        <v>676</v>
      </c>
      <c r="S839" s="2271" t="s">
        <v>676</v>
      </c>
      <c r="T839" s="2271" t="s">
        <v>676</v>
      </c>
      <c r="U839" s="1586"/>
    </row>
    <row r="840" spans="2:21" ht="90">
      <c r="B840" s="2316"/>
      <c r="C840" s="2268">
        <v>5</v>
      </c>
      <c r="D840" s="2882" t="s">
        <v>1760</v>
      </c>
      <c r="E840" s="2905"/>
      <c r="F840" s="2905"/>
      <c r="G840" s="2906"/>
      <c r="H840" s="2882" t="s">
        <v>699</v>
      </c>
      <c r="I840" s="2906"/>
      <c r="J840" s="2882" t="s">
        <v>2762</v>
      </c>
      <c r="K840" s="2906"/>
      <c r="L840" s="2268" t="s">
        <v>2763</v>
      </c>
      <c r="M840" s="2268" t="s">
        <v>2775</v>
      </c>
      <c r="N840" s="2268" t="s">
        <v>2765</v>
      </c>
      <c r="O840" s="2269">
        <v>43000</v>
      </c>
      <c r="P840" s="2270" t="s">
        <v>2766</v>
      </c>
      <c r="Q840" s="2270">
        <v>43000</v>
      </c>
      <c r="R840" s="2268"/>
      <c r="S840" s="2268" t="s">
        <v>2767</v>
      </c>
      <c r="T840" s="2268" t="s">
        <v>2768</v>
      </c>
      <c r="U840" s="1586"/>
    </row>
    <row r="841" spans="2:21" ht="30">
      <c r="B841" s="2316"/>
      <c r="C841" s="2271" t="s">
        <v>676</v>
      </c>
      <c r="D841" s="2888" t="s">
        <v>676</v>
      </c>
      <c r="E841" s="2907"/>
      <c r="F841" s="2907"/>
      <c r="G841" s="2908"/>
      <c r="H841" s="2888" t="s">
        <v>676</v>
      </c>
      <c r="I841" s="2908"/>
      <c r="J841" s="2888" t="s">
        <v>676</v>
      </c>
      <c r="K841" s="2908"/>
      <c r="L841" s="2271" t="s">
        <v>676</v>
      </c>
      <c r="M841" s="2271" t="s">
        <v>676</v>
      </c>
      <c r="N841" s="2271" t="s">
        <v>676</v>
      </c>
      <c r="O841" s="2272" t="s">
        <v>676</v>
      </c>
      <c r="P841" s="2270" t="s">
        <v>2769</v>
      </c>
      <c r="Q841" s="2270">
        <v>0</v>
      </c>
      <c r="R841" s="2271" t="s">
        <v>676</v>
      </c>
      <c r="S841" s="2271" t="s">
        <v>676</v>
      </c>
      <c r="T841" s="2271" t="s">
        <v>676</v>
      </c>
      <c r="U841" s="1586"/>
    </row>
    <row r="842" spans="2:21" ht="30">
      <c r="B842" s="2316"/>
      <c r="C842" s="2271" t="s">
        <v>676</v>
      </c>
      <c r="D842" s="2891" t="s">
        <v>676</v>
      </c>
      <c r="E842" s="2907"/>
      <c r="F842" s="2907"/>
      <c r="G842" s="2908"/>
      <c r="H842" s="2892" t="s">
        <v>676</v>
      </c>
      <c r="I842" s="2907"/>
      <c r="J842" s="2888" t="s">
        <v>676</v>
      </c>
      <c r="K842" s="2908"/>
      <c r="L842" s="2271" t="s">
        <v>676</v>
      </c>
      <c r="M842" s="2271" t="s">
        <v>676</v>
      </c>
      <c r="N842" s="2271" t="s">
        <v>676</v>
      </c>
      <c r="O842" s="2272" t="s">
        <v>676</v>
      </c>
      <c r="P842" s="2270" t="s">
        <v>2770</v>
      </c>
      <c r="Q842" s="2270">
        <v>0</v>
      </c>
      <c r="R842" s="2271" t="s">
        <v>676</v>
      </c>
      <c r="S842" s="2271" t="s">
        <v>676</v>
      </c>
      <c r="T842" s="2271" t="s">
        <v>676</v>
      </c>
      <c r="U842" s="1586"/>
    </row>
    <row r="843" spans="2:21" ht="90">
      <c r="B843" s="2316"/>
      <c r="C843" s="2268">
        <v>6</v>
      </c>
      <c r="D843" s="2882" t="s">
        <v>3011</v>
      </c>
      <c r="E843" s="2905"/>
      <c r="F843" s="2905"/>
      <c r="G843" s="2906"/>
      <c r="H843" s="2882" t="s">
        <v>3012</v>
      </c>
      <c r="I843" s="2906"/>
      <c r="J843" s="2882" t="s">
        <v>2762</v>
      </c>
      <c r="K843" s="2906"/>
      <c r="L843" s="2268" t="s">
        <v>2763</v>
      </c>
      <c r="M843" s="2268" t="s">
        <v>2775</v>
      </c>
      <c r="N843" s="2268" t="s">
        <v>2765</v>
      </c>
      <c r="O843" s="2269">
        <v>55000</v>
      </c>
      <c r="P843" s="2270" t="s">
        <v>2766</v>
      </c>
      <c r="Q843" s="2270">
        <v>55000</v>
      </c>
      <c r="R843" s="2268"/>
      <c r="S843" s="2268" t="s">
        <v>2767</v>
      </c>
      <c r="T843" s="2268" t="s">
        <v>2768</v>
      </c>
      <c r="U843" s="1586"/>
    </row>
    <row r="844" spans="2:21" ht="30">
      <c r="B844" s="2316"/>
      <c r="C844" s="2271" t="s">
        <v>676</v>
      </c>
      <c r="D844" s="2888" t="s">
        <v>676</v>
      </c>
      <c r="E844" s="2907"/>
      <c r="F844" s="2907"/>
      <c r="G844" s="2908"/>
      <c r="H844" s="2888" t="s">
        <v>676</v>
      </c>
      <c r="I844" s="2908"/>
      <c r="J844" s="2888" t="s">
        <v>676</v>
      </c>
      <c r="K844" s="2908"/>
      <c r="L844" s="2271" t="s">
        <v>676</v>
      </c>
      <c r="M844" s="2271" t="s">
        <v>676</v>
      </c>
      <c r="N844" s="2271" t="s">
        <v>676</v>
      </c>
      <c r="O844" s="2272" t="s">
        <v>676</v>
      </c>
      <c r="P844" s="2270" t="s">
        <v>2769</v>
      </c>
      <c r="Q844" s="2270">
        <v>0</v>
      </c>
      <c r="R844" s="2271" t="s">
        <v>676</v>
      </c>
      <c r="S844" s="2271" t="s">
        <v>676</v>
      </c>
      <c r="T844" s="2271" t="s">
        <v>676</v>
      </c>
      <c r="U844" s="1586"/>
    </row>
    <row r="845" spans="2:21" ht="30">
      <c r="B845" s="2316"/>
      <c r="C845" s="2271" t="s">
        <v>676</v>
      </c>
      <c r="D845" s="2891" t="s">
        <v>676</v>
      </c>
      <c r="E845" s="2907"/>
      <c r="F845" s="2907"/>
      <c r="G845" s="2908"/>
      <c r="H845" s="2892" t="s">
        <v>676</v>
      </c>
      <c r="I845" s="2907"/>
      <c r="J845" s="2888" t="s">
        <v>676</v>
      </c>
      <c r="K845" s="2908"/>
      <c r="L845" s="2271" t="s">
        <v>676</v>
      </c>
      <c r="M845" s="2271" t="s">
        <v>676</v>
      </c>
      <c r="N845" s="2271" t="s">
        <v>676</v>
      </c>
      <c r="O845" s="2272" t="s">
        <v>676</v>
      </c>
      <c r="P845" s="2270" t="s">
        <v>2770</v>
      </c>
      <c r="Q845" s="2270">
        <v>0</v>
      </c>
      <c r="R845" s="2271" t="s">
        <v>676</v>
      </c>
      <c r="S845" s="2271" t="s">
        <v>676</v>
      </c>
      <c r="T845" s="2271" t="s">
        <v>676</v>
      </c>
      <c r="U845" s="1586"/>
    </row>
    <row r="846" spans="2:21" ht="90">
      <c r="B846" s="2316"/>
      <c r="C846" s="2268">
        <v>7</v>
      </c>
      <c r="D846" s="2882" t="s">
        <v>3013</v>
      </c>
      <c r="E846" s="2905"/>
      <c r="F846" s="2905"/>
      <c r="G846" s="2906"/>
      <c r="H846" s="2882" t="s">
        <v>711</v>
      </c>
      <c r="I846" s="2906"/>
      <c r="J846" s="2882" t="s">
        <v>2762</v>
      </c>
      <c r="K846" s="2906"/>
      <c r="L846" s="2268" t="s">
        <v>2763</v>
      </c>
      <c r="M846" s="2268" t="s">
        <v>2764</v>
      </c>
      <c r="N846" s="2268" t="s">
        <v>2765</v>
      </c>
      <c r="O846" s="2269">
        <v>40000</v>
      </c>
      <c r="P846" s="2270" t="s">
        <v>2766</v>
      </c>
      <c r="Q846" s="2270">
        <v>40000</v>
      </c>
      <c r="R846" s="2268"/>
      <c r="S846" s="2268" t="s">
        <v>2928</v>
      </c>
      <c r="T846" s="2268" t="s">
        <v>2768</v>
      </c>
      <c r="U846" s="1586"/>
    </row>
    <row r="847" spans="2:21" ht="30">
      <c r="B847" s="2316"/>
      <c r="C847" s="2271" t="s">
        <v>676</v>
      </c>
      <c r="D847" s="2888" t="s">
        <v>676</v>
      </c>
      <c r="E847" s="2907"/>
      <c r="F847" s="2907"/>
      <c r="G847" s="2908"/>
      <c r="H847" s="2888" t="s">
        <v>676</v>
      </c>
      <c r="I847" s="2908"/>
      <c r="J847" s="2888" t="s">
        <v>676</v>
      </c>
      <c r="K847" s="2908"/>
      <c r="L847" s="2271" t="s">
        <v>676</v>
      </c>
      <c r="M847" s="2271" t="s">
        <v>676</v>
      </c>
      <c r="N847" s="2271" t="s">
        <v>676</v>
      </c>
      <c r="O847" s="2272" t="s">
        <v>676</v>
      </c>
      <c r="P847" s="2270" t="s">
        <v>2769</v>
      </c>
      <c r="Q847" s="2270">
        <v>0</v>
      </c>
      <c r="R847" s="2271" t="s">
        <v>676</v>
      </c>
      <c r="S847" s="2271" t="s">
        <v>676</v>
      </c>
      <c r="T847" s="2271" t="s">
        <v>676</v>
      </c>
      <c r="U847" s="1586"/>
    </row>
    <row r="848" spans="2:21" ht="30">
      <c r="B848" s="2316"/>
      <c r="C848" s="2271" t="s">
        <v>676</v>
      </c>
      <c r="D848" s="2891" t="s">
        <v>676</v>
      </c>
      <c r="E848" s="2907"/>
      <c r="F848" s="2907"/>
      <c r="G848" s="2908"/>
      <c r="H848" s="2892" t="s">
        <v>676</v>
      </c>
      <c r="I848" s="2907"/>
      <c r="J848" s="2888" t="s">
        <v>676</v>
      </c>
      <c r="K848" s="2908"/>
      <c r="L848" s="2271" t="s">
        <v>676</v>
      </c>
      <c r="M848" s="2271" t="s">
        <v>676</v>
      </c>
      <c r="N848" s="2271" t="s">
        <v>676</v>
      </c>
      <c r="O848" s="2272" t="s">
        <v>676</v>
      </c>
      <c r="P848" s="2270" t="s">
        <v>2770</v>
      </c>
      <c r="Q848" s="2270">
        <v>0</v>
      </c>
      <c r="R848" s="2271" t="s">
        <v>676</v>
      </c>
      <c r="S848" s="2271" t="s">
        <v>676</v>
      </c>
      <c r="T848" s="2271" t="s">
        <v>676</v>
      </c>
      <c r="U848" s="1586"/>
    </row>
    <row r="849" spans="2:21" ht="90">
      <c r="B849" s="2316"/>
      <c r="C849" s="2268">
        <v>8</v>
      </c>
      <c r="D849" s="2882" t="s">
        <v>1767</v>
      </c>
      <c r="E849" s="2905"/>
      <c r="F849" s="2905"/>
      <c r="G849" s="2906"/>
      <c r="H849" s="2882" t="s">
        <v>1455</v>
      </c>
      <c r="I849" s="2906"/>
      <c r="J849" s="2882" t="s">
        <v>2762</v>
      </c>
      <c r="K849" s="2906"/>
      <c r="L849" s="2268" t="s">
        <v>2763</v>
      </c>
      <c r="M849" s="2268" t="s">
        <v>2775</v>
      </c>
      <c r="N849" s="2268" t="s">
        <v>2765</v>
      </c>
      <c r="O849" s="2269">
        <v>20000</v>
      </c>
      <c r="P849" s="2270" t="s">
        <v>2766</v>
      </c>
      <c r="Q849" s="2270">
        <v>20000</v>
      </c>
      <c r="R849" s="2268"/>
      <c r="S849" s="2268" t="s">
        <v>2767</v>
      </c>
      <c r="T849" s="2268" t="s">
        <v>2768</v>
      </c>
      <c r="U849" s="1586"/>
    </row>
    <row r="850" spans="2:21" ht="30">
      <c r="B850" s="2316"/>
      <c r="C850" s="2271" t="s">
        <v>676</v>
      </c>
      <c r="D850" s="2888" t="s">
        <v>676</v>
      </c>
      <c r="E850" s="2907"/>
      <c r="F850" s="2907"/>
      <c r="G850" s="2908"/>
      <c r="H850" s="2888" t="s">
        <v>676</v>
      </c>
      <c r="I850" s="2908"/>
      <c r="J850" s="2888" t="s">
        <v>676</v>
      </c>
      <c r="K850" s="2908"/>
      <c r="L850" s="2271" t="s">
        <v>676</v>
      </c>
      <c r="M850" s="2271" t="s">
        <v>676</v>
      </c>
      <c r="N850" s="2271" t="s">
        <v>676</v>
      </c>
      <c r="O850" s="2272" t="s">
        <v>676</v>
      </c>
      <c r="P850" s="2270" t="s">
        <v>2769</v>
      </c>
      <c r="Q850" s="2270">
        <v>0</v>
      </c>
      <c r="R850" s="2271" t="s">
        <v>676</v>
      </c>
      <c r="S850" s="2271" t="s">
        <v>676</v>
      </c>
      <c r="T850" s="2271" t="s">
        <v>676</v>
      </c>
      <c r="U850" s="1586"/>
    </row>
    <row r="851" spans="2:21" ht="30">
      <c r="B851" s="2316"/>
      <c r="C851" s="2271" t="s">
        <v>676</v>
      </c>
      <c r="D851" s="2891" t="s">
        <v>676</v>
      </c>
      <c r="E851" s="2907"/>
      <c r="F851" s="2907"/>
      <c r="G851" s="2908"/>
      <c r="H851" s="2892" t="s">
        <v>676</v>
      </c>
      <c r="I851" s="2907"/>
      <c r="J851" s="2888" t="s">
        <v>676</v>
      </c>
      <c r="K851" s="2908"/>
      <c r="L851" s="2271" t="s">
        <v>676</v>
      </c>
      <c r="M851" s="2271" t="s">
        <v>676</v>
      </c>
      <c r="N851" s="2271" t="s">
        <v>676</v>
      </c>
      <c r="O851" s="2272" t="s">
        <v>676</v>
      </c>
      <c r="P851" s="2270" t="s">
        <v>2770</v>
      </c>
      <c r="Q851" s="2270">
        <v>0</v>
      </c>
      <c r="R851" s="2271" t="s">
        <v>676</v>
      </c>
      <c r="S851" s="2271" t="s">
        <v>676</v>
      </c>
      <c r="T851" s="2271" t="s">
        <v>676</v>
      </c>
      <c r="U851" s="1586"/>
    </row>
    <row r="852" spans="2:21" ht="90">
      <c r="B852" s="2316"/>
      <c r="C852" s="2268">
        <v>9</v>
      </c>
      <c r="D852" s="2882" t="s">
        <v>1771</v>
      </c>
      <c r="E852" s="2905"/>
      <c r="F852" s="2905"/>
      <c r="G852" s="2906"/>
      <c r="H852" s="2882" t="s">
        <v>3014</v>
      </c>
      <c r="I852" s="2906"/>
      <c r="J852" s="2882" t="s">
        <v>2762</v>
      </c>
      <c r="K852" s="2906"/>
      <c r="L852" s="2268" t="s">
        <v>2763</v>
      </c>
      <c r="M852" s="2268" t="s">
        <v>2775</v>
      </c>
      <c r="N852" s="2268" t="s">
        <v>2765</v>
      </c>
      <c r="O852" s="2269">
        <v>50000</v>
      </c>
      <c r="P852" s="2270" t="s">
        <v>2766</v>
      </c>
      <c r="Q852" s="2270">
        <v>50000</v>
      </c>
      <c r="R852" s="2268"/>
      <c r="S852" s="2268" t="s">
        <v>2767</v>
      </c>
      <c r="T852" s="2268" t="s">
        <v>2768</v>
      </c>
      <c r="U852" s="1586"/>
    </row>
    <row r="853" spans="2:21" ht="30">
      <c r="B853" s="2316"/>
      <c r="C853" s="2271" t="s">
        <v>676</v>
      </c>
      <c r="D853" s="2888" t="s">
        <v>676</v>
      </c>
      <c r="E853" s="2907"/>
      <c r="F853" s="2907"/>
      <c r="G853" s="2908"/>
      <c r="H853" s="2888" t="s">
        <v>676</v>
      </c>
      <c r="I853" s="2908"/>
      <c r="J853" s="2888" t="s">
        <v>676</v>
      </c>
      <c r="K853" s="2908"/>
      <c r="L853" s="2271" t="s">
        <v>676</v>
      </c>
      <c r="M853" s="2271" t="s">
        <v>676</v>
      </c>
      <c r="N853" s="2271" t="s">
        <v>676</v>
      </c>
      <c r="O853" s="2272" t="s">
        <v>676</v>
      </c>
      <c r="P853" s="2270" t="s">
        <v>2769</v>
      </c>
      <c r="Q853" s="2270">
        <v>0</v>
      </c>
      <c r="R853" s="2271" t="s">
        <v>676</v>
      </c>
      <c r="S853" s="2271" t="s">
        <v>676</v>
      </c>
      <c r="T853" s="2271" t="s">
        <v>676</v>
      </c>
      <c r="U853" s="1586"/>
    </row>
    <row r="854" spans="2:21" ht="30">
      <c r="B854" s="2316"/>
      <c r="C854" s="2271" t="s">
        <v>676</v>
      </c>
      <c r="D854" s="2891" t="s">
        <v>676</v>
      </c>
      <c r="E854" s="2907"/>
      <c r="F854" s="2907"/>
      <c r="G854" s="2908"/>
      <c r="H854" s="2892" t="s">
        <v>676</v>
      </c>
      <c r="I854" s="2907"/>
      <c r="J854" s="2888" t="s">
        <v>676</v>
      </c>
      <c r="K854" s="2908"/>
      <c r="L854" s="2271" t="s">
        <v>676</v>
      </c>
      <c r="M854" s="2271" t="s">
        <v>676</v>
      </c>
      <c r="N854" s="2271" t="s">
        <v>676</v>
      </c>
      <c r="O854" s="2272" t="s">
        <v>676</v>
      </c>
      <c r="P854" s="2270" t="s">
        <v>2770</v>
      </c>
      <c r="Q854" s="2270">
        <v>0</v>
      </c>
      <c r="R854" s="2271" t="s">
        <v>676</v>
      </c>
      <c r="S854" s="2271" t="s">
        <v>676</v>
      </c>
      <c r="T854" s="2271" t="s">
        <v>676</v>
      </c>
      <c r="U854" s="1586"/>
    </row>
    <row r="855" spans="2:21" ht="90">
      <c r="B855" s="2316"/>
      <c r="C855" s="2268">
        <v>10</v>
      </c>
      <c r="D855" s="2882" t="s">
        <v>3015</v>
      </c>
      <c r="E855" s="2905"/>
      <c r="F855" s="2905"/>
      <c r="G855" s="2906"/>
      <c r="H855" s="2882" t="s">
        <v>3016</v>
      </c>
      <c r="I855" s="2906"/>
      <c r="J855" s="2882" t="s">
        <v>2762</v>
      </c>
      <c r="K855" s="2906"/>
      <c r="L855" s="2268" t="s">
        <v>2763</v>
      </c>
      <c r="M855" s="2268" t="s">
        <v>2764</v>
      </c>
      <c r="N855" s="2268" t="s">
        <v>2765</v>
      </c>
      <c r="O855" s="2269">
        <v>21000</v>
      </c>
      <c r="P855" s="2270" t="s">
        <v>2766</v>
      </c>
      <c r="Q855" s="2270">
        <v>21000</v>
      </c>
      <c r="R855" s="2268"/>
      <c r="S855" s="2268" t="s">
        <v>2767</v>
      </c>
      <c r="T855" s="2268" t="s">
        <v>2768</v>
      </c>
      <c r="U855" s="1586"/>
    </row>
    <row r="856" spans="2:21" ht="30">
      <c r="B856" s="2316"/>
      <c r="C856" s="2271" t="s">
        <v>676</v>
      </c>
      <c r="D856" s="2888" t="s">
        <v>676</v>
      </c>
      <c r="E856" s="2907"/>
      <c r="F856" s="2907"/>
      <c r="G856" s="2908"/>
      <c r="H856" s="2888" t="s">
        <v>676</v>
      </c>
      <c r="I856" s="2908"/>
      <c r="J856" s="2888" t="s">
        <v>676</v>
      </c>
      <c r="K856" s="2908"/>
      <c r="L856" s="2271" t="s">
        <v>676</v>
      </c>
      <c r="M856" s="2271" t="s">
        <v>676</v>
      </c>
      <c r="N856" s="2271" t="s">
        <v>676</v>
      </c>
      <c r="O856" s="2272" t="s">
        <v>676</v>
      </c>
      <c r="P856" s="2270" t="s">
        <v>2769</v>
      </c>
      <c r="Q856" s="2270">
        <v>0</v>
      </c>
      <c r="R856" s="2271" t="s">
        <v>676</v>
      </c>
      <c r="S856" s="2271" t="s">
        <v>676</v>
      </c>
      <c r="T856" s="2271" t="s">
        <v>676</v>
      </c>
      <c r="U856" s="1586"/>
    </row>
    <row r="857" spans="2:21" ht="30">
      <c r="B857" s="2316"/>
      <c r="C857" s="2271" t="s">
        <v>676</v>
      </c>
      <c r="D857" s="2891" t="s">
        <v>676</v>
      </c>
      <c r="E857" s="2907"/>
      <c r="F857" s="2907"/>
      <c r="G857" s="2908"/>
      <c r="H857" s="2892" t="s">
        <v>676</v>
      </c>
      <c r="I857" s="2907"/>
      <c r="J857" s="2888" t="s">
        <v>676</v>
      </c>
      <c r="K857" s="2908"/>
      <c r="L857" s="2271" t="s">
        <v>676</v>
      </c>
      <c r="M857" s="2271" t="s">
        <v>676</v>
      </c>
      <c r="N857" s="2271" t="s">
        <v>676</v>
      </c>
      <c r="O857" s="2272" t="s">
        <v>676</v>
      </c>
      <c r="P857" s="2270" t="s">
        <v>2770</v>
      </c>
      <c r="Q857" s="2270">
        <v>0</v>
      </c>
      <c r="R857" s="2271" t="s">
        <v>676</v>
      </c>
      <c r="S857" s="2271" t="s">
        <v>676</v>
      </c>
      <c r="T857" s="2271" t="s">
        <v>676</v>
      </c>
      <c r="U857" s="1586"/>
    </row>
    <row r="858" spans="2:21" ht="90">
      <c r="B858" s="2316"/>
      <c r="C858" s="2268">
        <v>11</v>
      </c>
      <c r="D858" s="2882" t="s">
        <v>3017</v>
      </c>
      <c r="E858" s="2905"/>
      <c r="F858" s="2905"/>
      <c r="G858" s="2906"/>
      <c r="H858" s="2882" t="s">
        <v>1167</v>
      </c>
      <c r="I858" s="2906"/>
      <c r="J858" s="2882" t="s">
        <v>2762</v>
      </c>
      <c r="K858" s="2906"/>
      <c r="L858" s="2268" t="s">
        <v>2763</v>
      </c>
      <c r="M858" s="2268" t="s">
        <v>2764</v>
      </c>
      <c r="N858" s="2268" t="s">
        <v>2765</v>
      </c>
      <c r="O858" s="2269">
        <v>60000</v>
      </c>
      <c r="P858" s="2270" t="s">
        <v>2766</v>
      </c>
      <c r="Q858" s="2270">
        <v>60000</v>
      </c>
      <c r="R858" s="2268"/>
      <c r="S858" s="2268" t="s">
        <v>2767</v>
      </c>
      <c r="T858" s="2268" t="s">
        <v>2768</v>
      </c>
      <c r="U858" s="1586"/>
    </row>
    <row r="859" spans="2:21" ht="30">
      <c r="B859" s="2316"/>
      <c r="C859" s="2271" t="s">
        <v>676</v>
      </c>
      <c r="D859" s="2888" t="s">
        <v>676</v>
      </c>
      <c r="E859" s="2907"/>
      <c r="F859" s="2907"/>
      <c r="G859" s="2908"/>
      <c r="H859" s="2888" t="s">
        <v>676</v>
      </c>
      <c r="I859" s="2908"/>
      <c r="J859" s="2888" t="s">
        <v>676</v>
      </c>
      <c r="K859" s="2908"/>
      <c r="L859" s="2271" t="s">
        <v>676</v>
      </c>
      <c r="M859" s="2271" t="s">
        <v>676</v>
      </c>
      <c r="N859" s="2271" t="s">
        <v>676</v>
      </c>
      <c r="O859" s="2272" t="s">
        <v>676</v>
      </c>
      <c r="P859" s="2270" t="s">
        <v>2769</v>
      </c>
      <c r="Q859" s="2270">
        <v>0</v>
      </c>
      <c r="R859" s="2271" t="s">
        <v>676</v>
      </c>
      <c r="S859" s="2271" t="s">
        <v>676</v>
      </c>
      <c r="T859" s="2271" t="s">
        <v>676</v>
      </c>
      <c r="U859" s="1586"/>
    </row>
    <row r="860" spans="2:21" ht="30">
      <c r="B860" s="2316"/>
      <c r="C860" s="2271" t="s">
        <v>676</v>
      </c>
      <c r="D860" s="2891" t="s">
        <v>676</v>
      </c>
      <c r="E860" s="2907"/>
      <c r="F860" s="2907"/>
      <c r="G860" s="2908"/>
      <c r="H860" s="2892" t="s">
        <v>676</v>
      </c>
      <c r="I860" s="2907"/>
      <c r="J860" s="2888" t="s">
        <v>676</v>
      </c>
      <c r="K860" s="2908"/>
      <c r="L860" s="2271" t="s">
        <v>676</v>
      </c>
      <c r="M860" s="2271" t="s">
        <v>676</v>
      </c>
      <c r="N860" s="2271" t="s">
        <v>676</v>
      </c>
      <c r="O860" s="2272" t="s">
        <v>676</v>
      </c>
      <c r="P860" s="2270" t="s">
        <v>2770</v>
      </c>
      <c r="Q860" s="2270">
        <v>0</v>
      </c>
      <c r="R860" s="2271" t="s">
        <v>676</v>
      </c>
      <c r="S860" s="2271" t="s">
        <v>676</v>
      </c>
      <c r="T860" s="2271" t="s">
        <v>676</v>
      </c>
      <c r="U860" s="1586"/>
    </row>
    <row r="861" spans="2:21" ht="90">
      <c r="B861" s="2316"/>
      <c r="C861" s="2268">
        <v>12</v>
      </c>
      <c r="D861" s="2882" t="s">
        <v>1777</v>
      </c>
      <c r="E861" s="2905"/>
      <c r="F861" s="2905"/>
      <c r="G861" s="2906"/>
      <c r="H861" s="2882" t="s">
        <v>749</v>
      </c>
      <c r="I861" s="2906"/>
      <c r="J861" s="2882" t="s">
        <v>2762</v>
      </c>
      <c r="K861" s="2906"/>
      <c r="L861" s="2268" t="s">
        <v>2763</v>
      </c>
      <c r="M861" s="2268" t="s">
        <v>2764</v>
      </c>
      <c r="N861" s="2268" t="s">
        <v>2765</v>
      </c>
      <c r="O861" s="2269">
        <v>30000</v>
      </c>
      <c r="P861" s="2270" t="s">
        <v>2766</v>
      </c>
      <c r="Q861" s="2270">
        <v>30000</v>
      </c>
      <c r="R861" s="2268"/>
      <c r="S861" s="2268" t="s">
        <v>2767</v>
      </c>
      <c r="T861" s="2268" t="s">
        <v>2768</v>
      </c>
      <c r="U861" s="1586"/>
    </row>
    <row r="862" spans="2:21" ht="30">
      <c r="B862" s="2316"/>
      <c r="C862" s="2271" t="s">
        <v>676</v>
      </c>
      <c r="D862" s="2888" t="s">
        <v>676</v>
      </c>
      <c r="E862" s="2907"/>
      <c r="F862" s="2907"/>
      <c r="G862" s="2908"/>
      <c r="H862" s="2888" t="s">
        <v>676</v>
      </c>
      <c r="I862" s="2908"/>
      <c r="J862" s="2888" t="s">
        <v>676</v>
      </c>
      <c r="K862" s="2908"/>
      <c r="L862" s="2271" t="s">
        <v>676</v>
      </c>
      <c r="M862" s="2271" t="s">
        <v>676</v>
      </c>
      <c r="N862" s="2271" t="s">
        <v>676</v>
      </c>
      <c r="O862" s="2272" t="s">
        <v>676</v>
      </c>
      <c r="P862" s="2270" t="s">
        <v>2769</v>
      </c>
      <c r="Q862" s="2270">
        <v>0</v>
      </c>
      <c r="R862" s="2271" t="s">
        <v>676</v>
      </c>
      <c r="S862" s="2271" t="s">
        <v>676</v>
      </c>
      <c r="T862" s="2271" t="s">
        <v>676</v>
      </c>
      <c r="U862" s="1586"/>
    </row>
    <row r="863" spans="2:21" ht="30">
      <c r="B863" s="2316"/>
      <c r="C863" s="2271" t="s">
        <v>676</v>
      </c>
      <c r="D863" s="2891" t="s">
        <v>676</v>
      </c>
      <c r="E863" s="2907"/>
      <c r="F863" s="2907"/>
      <c r="G863" s="2908"/>
      <c r="H863" s="2892" t="s">
        <v>676</v>
      </c>
      <c r="I863" s="2907"/>
      <c r="J863" s="2888" t="s">
        <v>676</v>
      </c>
      <c r="K863" s="2908"/>
      <c r="L863" s="2271" t="s">
        <v>676</v>
      </c>
      <c r="M863" s="2271" t="s">
        <v>676</v>
      </c>
      <c r="N863" s="2271" t="s">
        <v>676</v>
      </c>
      <c r="O863" s="2272" t="s">
        <v>676</v>
      </c>
      <c r="P863" s="2270" t="s">
        <v>2770</v>
      </c>
      <c r="Q863" s="2270">
        <v>0</v>
      </c>
      <c r="R863" s="2271" t="s">
        <v>676</v>
      </c>
      <c r="S863" s="2271" t="s">
        <v>676</v>
      </c>
      <c r="T863" s="2271" t="s">
        <v>676</v>
      </c>
      <c r="U863" s="1586"/>
    </row>
    <row r="864" spans="2:21" ht="60">
      <c r="B864" s="2316"/>
      <c r="C864" s="2268">
        <v>13</v>
      </c>
      <c r="D864" s="2882" t="s">
        <v>3018</v>
      </c>
      <c r="E864" s="2905"/>
      <c r="F864" s="2905"/>
      <c r="G864" s="2906"/>
      <c r="H864" s="2882" t="s">
        <v>1129</v>
      </c>
      <c r="I864" s="2906"/>
      <c r="J864" s="2882" t="s">
        <v>2762</v>
      </c>
      <c r="K864" s="2906"/>
      <c r="L864" s="2268" t="s">
        <v>2763</v>
      </c>
      <c r="M864" s="2268" t="s">
        <v>2764</v>
      </c>
      <c r="N864" s="2268" t="s">
        <v>2776</v>
      </c>
      <c r="O864" s="2269">
        <v>315000</v>
      </c>
      <c r="P864" s="2270" t="s">
        <v>2766</v>
      </c>
      <c r="Q864" s="2270">
        <v>315000</v>
      </c>
      <c r="R864" s="2268" t="s">
        <v>688</v>
      </c>
      <c r="S864" s="2268" t="s">
        <v>2767</v>
      </c>
      <c r="T864" s="2268" t="s">
        <v>2768</v>
      </c>
      <c r="U864" s="1586"/>
    </row>
    <row r="865" spans="2:21" ht="30">
      <c r="B865" s="2316"/>
      <c r="C865" s="2271" t="s">
        <v>676</v>
      </c>
      <c r="D865" s="2888" t="s">
        <v>676</v>
      </c>
      <c r="E865" s="2907"/>
      <c r="F865" s="2907"/>
      <c r="G865" s="2908"/>
      <c r="H865" s="2888" t="s">
        <v>676</v>
      </c>
      <c r="I865" s="2908"/>
      <c r="J865" s="2888" t="s">
        <v>676</v>
      </c>
      <c r="K865" s="2908"/>
      <c r="L865" s="2271" t="s">
        <v>676</v>
      </c>
      <c r="M865" s="2271" t="s">
        <v>676</v>
      </c>
      <c r="N865" s="2271" t="s">
        <v>676</v>
      </c>
      <c r="O865" s="2272" t="s">
        <v>676</v>
      </c>
      <c r="P865" s="2270" t="s">
        <v>2769</v>
      </c>
      <c r="Q865" s="2270">
        <v>0</v>
      </c>
      <c r="R865" s="2271" t="s">
        <v>676</v>
      </c>
      <c r="S865" s="2271" t="s">
        <v>676</v>
      </c>
      <c r="T865" s="2271" t="s">
        <v>676</v>
      </c>
      <c r="U865" s="1586"/>
    </row>
    <row r="866" spans="2:21" ht="30">
      <c r="B866" s="2316"/>
      <c r="C866" s="2271" t="s">
        <v>676</v>
      </c>
      <c r="D866" s="2891" t="s">
        <v>676</v>
      </c>
      <c r="E866" s="2907"/>
      <c r="F866" s="2907"/>
      <c r="G866" s="2908"/>
      <c r="H866" s="2892" t="s">
        <v>676</v>
      </c>
      <c r="I866" s="2907"/>
      <c r="J866" s="2888" t="s">
        <v>676</v>
      </c>
      <c r="K866" s="2908"/>
      <c r="L866" s="2271" t="s">
        <v>676</v>
      </c>
      <c r="M866" s="2271" t="s">
        <v>676</v>
      </c>
      <c r="N866" s="2271" t="s">
        <v>676</v>
      </c>
      <c r="O866" s="2272" t="s">
        <v>676</v>
      </c>
      <c r="P866" s="2270" t="s">
        <v>2770</v>
      </c>
      <c r="Q866" s="2270">
        <v>0</v>
      </c>
      <c r="R866" s="2271" t="s">
        <v>676</v>
      </c>
      <c r="S866" s="2271" t="s">
        <v>676</v>
      </c>
      <c r="T866" s="2271" t="s">
        <v>676</v>
      </c>
      <c r="U866" s="1586"/>
    </row>
    <row r="867" spans="2:21" ht="60">
      <c r="B867" s="2316"/>
      <c r="C867" s="2268">
        <v>14</v>
      </c>
      <c r="D867" s="2882" t="s">
        <v>3019</v>
      </c>
      <c r="E867" s="2905"/>
      <c r="F867" s="2905"/>
      <c r="G867" s="2906"/>
      <c r="H867" s="2882" t="s">
        <v>1434</v>
      </c>
      <c r="I867" s="2906"/>
      <c r="J867" s="2882" t="s">
        <v>2762</v>
      </c>
      <c r="K867" s="2906"/>
      <c r="L867" s="2268" t="s">
        <v>2763</v>
      </c>
      <c r="M867" s="2268" t="s">
        <v>2775</v>
      </c>
      <c r="N867" s="2268" t="s">
        <v>2776</v>
      </c>
      <c r="O867" s="2269">
        <v>800000</v>
      </c>
      <c r="P867" s="2270" t="s">
        <v>2766</v>
      </c>
      <c r="Q867" s="2270">
        <v>800000</v>
      </c>
      <c r="R867" s="2268" t="s">
        <v>688</v>
      </c>
      <c r="S867" s="2268" t="s">
        <v>2767</v>
      </c>
      <c r="T867" s="2268" t="s">
        <v>2768</v>
      </c>
      <c r="U867" s="1586"/>
    </row>
    <row r="868" spans="2:21" ht="30">
      <c r="B868" s="2316"/>
      <c r="C868" s="2271" t="s">
        <v>676</v>
      </c>
      <c r="D868" s="2888" t="s">
        <v>676</v>
      </c>
      <c r="E868" s="2907"/>
      <c r="F868" s="2907"/>
      <c r="G868" s="2908"/>
      <c r="H868" s="2888" t="s">
        <v>676</v>
      </c>
      <c r="I868" s="2908"/>
      <c r="J868" s="2888" t="s">
        <v>676</v>
      </c>
      <c r="K868" s="2908"/>
      <c r="L868" s="2271" t="s">
        <v>676</v>
      </c>
      <c r="M868" s="2271" t="s">
        <v>676</v>
      </c>
      <c r="N868" s="2271" t="s">
        <v>676</v>
      </c>
      <c r="O868" s="2272" t="s">
        <v>676</v>
      </c>
      <c r="P868" s="2270" t="s">
        <v>2769</v>
      </c>
      <c r="Q868" s="2270">
        <v>0</v>
      </c>
      <c r="R868" s="2271" t="s">
        <v>676</v>
      </c>
      <c r="S868" s="2271" t="s">
        <v>676</v>
      </c>
      <c r="T868" s="2271" t="s">
        <v>676</v>
      </c>
      <c r="U868" s="1586"/>
    </row>
    <row r="869" spans="2:21" ht="30">
      <c r="B869" s="2316"/>
      <c r="C869" s="2271" t="s">
        <v>676</v>
      </c>
      <c r="D869" s="2891" t="s">
        <v>676</v>
      </c>
      <c r="E869" s="2907"/>
      <c r="F869" s="2907"/>
      <c r="G869" s="2908"/>
      <c r="H869" s="2892" t="s">
        <v>676</v>
      </c>
      <c r="I869" s="2907"/>
      <c r="J869" s="2888" t="s">
        <v>676</v>
      </c>
      <c r="K869" s="2908"/>
      <c r="L869" s="2271" t="s">
        <v>676</v>
      </c>
      <c r="M869" s="2271" t="s">
        <v>676</v>
      </c>
      <c r="N869" s="2271" t="s">
        <v>676</v>
      </c>
      <c r="O869" s="2272" t="s">
        <v>676</v>
      </c>
      <c r="P869" s="2270" t="s">
        <v>2770</v>
      </c>
      <c r="Q869" s="2270">
        <v>0</v>
      </c>
      <c r="R869" s="2271" t="s">
        <v>676</v>
      </c>
      <c r="S869" s="2271" t="s">
        <v>676</v>
      </c>
      <c r="T869" s="2271" t="s">
        <v>676</v>
      </c>
      <c r="U869" s="1586"/>
    </row>
    <row r="870" spans="2:21" ht="90">
      <c r="B870" s="2316"/>
      <c r="C870" s="2268">
        <v>15</v>
      </c>
      <c r="D870" s="2882" t="s">
        <v>1762</v>
      </c>
      <c r="E870" s="2905"/>
      <c r="F870" s="2905"/>
      <c r="G870" s="2906"/>
      <c r="H870" s="2882" t="s">
        <v>1763</v>
      </c>
      <c r="I870" s="2906"/>
      <c r="J870" s="2882" t="s">
        <v>2762</v>
      </c>
      <c r="K870" s="2906"/>
      <c r="L870" s="2268" t="s">
        <v>2763</v>
      </c>
      <c r="M870" s="2268" t="s">
        <v>2775</v>
      </c>
      <c r="N870" s="2268" t="s">
        <v>2765</v>
      </c>
      <c r="O870" s="2269">
        <v>40000</v>
      </c>
      <c r="P870" s="2270" t="s">
        <v>2766</v>
      </c>
      <c r="Q870" s="2270">
        <v>40000</v>
      </c>
      <c r="R870" s="2268"/>
      <c r="S870" s="2268" t="s">
        <v>2928</v>
      </c>
      <c r="T870" s="2268" t="s">
        <v>2768</v>
      </c>
      <c r="U870" s="1586"/>
    </row>
    <row r="871" spans="2:21" ht="30">
      <c r="B871" s="2316"/>
      <c r="C871" s="2271" t="s">
        <v>676</v>
      </c>
      <c r="D871" s="2888" t="s">
        <v>676</v>
      </c>
      <c r="E871" s="2907"/>
      <c r="F871" s="2907"/>
      <c r="G871" s="2908"/>
      <c r="H871" s="2888" t="s">
        <v>676</v>
      </c>
      <c r="I871" s="2908"/>
      <c r="J871" s="2888" t="s">
        <v>676</v>
      </c>
      <c r="K871" s="2908"/>
      <c r="L871" s="2271" t="s">
        <v>676</v>
      </c>
      <c r="M871" s="2271" t="s">
        <v>676</v>
      </c>
      <c r="N871" s="2271" t="s">
        <v>676</v>
      </c>
      <c r="O871" s="2272" t="s">
        <v>676</v>
      </c>
      <c r="P871" s="2270" t="s">
        <v>2769</v>
      </c>
      <c r="Q871" s="2270">
        <v>0</v>
      </c>
      <c r="R871" s="2271" t="s">
        <v>676</v>
      </c>
      <c r="S871" s="2271" t="s">
        <v>676</v>
      </c>
      <c r="T871" s="2271" t="s">
        <v>676</v>
      </c>
      <c r="U871" s="1586"/>
    </row>
    <row r="872" spans="2:21" ht="30">
      <c r="B872" s="2316"/>
      <c r="C872" s="2273" t="s">
        <v>676</v>
      </c>
      <c r="D872" s="2896" t="s">
        <v>676</v>
      </c>
      <c r="E872" s="2897"/>
      <c r="F872" s="2897"/>
      <c r="G872" s="2898"/>
      <c r="H872" s="2899" t="s">
        <v>676</v>
      </c>
      <c r="I872" s="2897"/>
      <c r="J872" s="2900" t="s">
        <v>676</v>
      </c>
      <c r="K872" s="2898"/>
      <c r="L872" s="2273" t="s">
        <v>676</v>
      </c>
      <c r="M872" s="2273" t="s">
        <v>676</v>
      </c>
      <c r="N872" s="2273" t="s">
        <v>676</v>
      </c>
      <c r="O872" s="2274" t="s">
        <v>676</v>
      </c>
      <c r="P872" s="2270" t="s">
        <v>2770</v>
      </c>
      <c r="Q872" s="2270">
        <v>0</v>
      </c>
      <c r="R872" s="2273" t="s">
        <v>676</v>
      </c>
      <c r="S872" s="2273" t="s">
        <v>676</v>
      </c>
      <c r="T872" s="2273" t="s">
        <v>676</v>
      </c>
      <c r="U872" s="1586"/>
    </row>
    <row r="873" spans="2:21" ht="15">
      <c r="B873" s="2335"/>
      <c r="C873" s="2336" t="s">
        <v>79</v>
      </c>
      <c r="D873" s="2337"/>
      <c r="E873" s="2338"/>
      <c r="F873" s="2338"/>
      <c r="G873" s="2339"/>
      <c r="H873" s="2340"/>
      <c r="I873" s="2341"/>
      <c r="J873" s="2340"/>
      <c r="K873" s="2341" t="e">
        <f>SUM(#REF!)</f>
        <v>#REF!</v>
      </c>
      <c r="L873" s="2338"/>
      <c r="M873" s="2337"/>
      <c r="N873" s="2337"/>
      <c r="O873" s="2340">
        <f>SUM(O828:O872)</f>
        <v>1526500</v>
      </c>
      <c r="P873" s="2340"/>
      <c r="Q873" s="2340">
        <f>SUM(Q828:Q872)</f>
        <v>1526500</v>
      </c>
      <c r="R873" s="2337"/>
      <c r="S873" s="2337"/>
      <c r="T873" s="2337"/>
      <c r="U873" s="2342"/>
    </row>
    <row r="874" spans="2:21" ht="20.25">
      <c r="B874" s="2324"/>
      <c r="C874" s="2325"/>
      <c r="D874" s="2324"/>
      <c r="E874" s="2335"/>
      <c r="F874" s="2325"/>
      <c r="G874" s="2324"/>
      <c r="H874" s="2324"/>
      <c r="I874" s="2324"/>
      <c r="J874" s="2324"/>
      <c r="K874" s="2326"/>
      <c r="L874" s="2327"/>
      <c r="M874" s="2326"/>
      <c r="N874" s="2326"/>
      <c r="O874" s="2326"/>
      <c r="P874" s="2328" t="s">
        <v>2789</v>
      </c>
      <c r="Q874" s="2326"/>
      <c r="R874" s="2326"/>
      <c r="S874" s="2326"/>
      <c r="T874" s="2326"/>
      <c r="U874" s="2326"/>
    </row>
    <row r="875" spans="2:21" ht="20.25">
      <c r="B875" s="2326"/>
      <c r="C875" s="2326"/>
      <c r="D875" s="2326"/>
      <c r="E875" s="2324"/>
      <c r="F875" s="2326"/>
      <c r="G875" s="2326"/>
      <c r="H875" s="2326"/>
      <c r="I875" s="2326"/>
      <c r="J875" s="2326"/>
      <c r="K875" s="2326"/>
      <c r="L875" s="2327"/>
      <c r="M875" s="2326"/>
      <c r="N875" s="2326"/>
      <c r="O875" s="2327"/>
      <c r="P875" s="2328" t="s">
        <v>2790</v>
      </c>
      <c r="Q875" s="2326"/>
      <c r="R875" s="2326"/>
      <c r="S875" s="2326"/>
      <c r="T875" s="2326"/>
      <c r="U875" s="2326"/>
    </row>
    <row r="876" spans="2:21" ht="20.25">
      <c r="B876" s="2911" t="s">
        <v>2749</v>
      </c>
      <c r="C876" s="2962"/>
      <c r="D876" s="2962"/>
      <c r="E876" s="2962"/>
      <c r="F876" s="2962"/>
      <c r="G876" s="2962"/>
      <c r="H876" s="2962"/>
      <c r="I876" s="1586"/>
      <c r="J876" s="1586"/>
      <c r="K876" s="1586"/>
      <c r="L876" s="1586"/>
      <c r="M876" s="1586"/>
      <c r="N876" s="1586"/>
      <c r="O876" s="2314"/>
      <c r="P876" s="2314"/>
      <c r="Q876" s="2314"/>
      <c r="R876" s="1586"/>
      <c r="S876" s="1586"/>
      <c r="T876" s="1586"/>
      <c r="U876" s="1586"/>
    </row>
    <row r="877" spans="2:21" ht="15">
      <c r="B877" s="1586"/>
      <c r="C877" s="1586"/>
      <c r="D877" s="1586"/>
      <c r="E877" s="1586"/>
      <c r="F877" s="1586"/>
      <c r="G877" s="1586"/>
      <c r="H877" s="1586"/>
      <c r="I877" s="1586"/>
      <c r="J877" s="1586"/>
      <c r="K877" s="1586"/>
      <c r="L877" s="1586"/>
      <c r="M877" s="1586"/>
      <c r="N877" s="1586"/>
      <c r="O877" s="2314"/>
      <c r="P877" s="2314"/>
      <c r="Q877" s="2314"/>
      <c r="R877" s="1586"/>
      <c r="S877" s="1586"/>
      <c r="T877" s="1586"/>
      <c r="U877" s="1586"/>
    </row>
    <row r="878" spans="2:21" ht="15">
      <c r="B878" s="2972" t="s">
        <v>653</v>
      </c>
      <c r="C878" s="2964"/>
      <c r="D878" s="2964"/>
      <c r="E878" s="1437"/>
      <c r="F878" s="2343">
        <v>2020</v>
      </c>
      <c r="G878" s="1437"/>
      <c r="H878" s="1437"/>
      <c r="I878" s="1437"/>
      <c r="J878" s="1437"/>
      <c r="K878" s="1437"/>
      <c r="L878" s="1437"/>
      <c r="M878" s="1437"/>
      <c r="N878" s="1437"/>
      <c r="O878" s="2344"/>
      <c r="P878" s="2344"/>
      <c r="Q878" s="2344"/>
      <c r="R878" s="1437"/>
      <c r="S878" s="1437"/>
      <c r="T878" s="1437"/>
      <c r="U878" s="1437"/>
    </row>
    <row r="879" spans="2:21" ht="15">
      <c r="B879" s="1437"/>
      <c r="C879" s="1437"/>
      <c r="D879" s="1437"/>
      <c r="E879" s="1437"/>
      <c r="F879" s="1437"/>
      <c r="G879" s="1437"/>
      <c r="H879" s="1437"/>
      <c r="I879" s="1437"/>
      <c r="J879" s="1437"/>
      <c r="K879" s="1437"/>
      <c r="L879" s="1437"/>
      <c r="M879" s="1437"/>
      <c r="N879" s="1437"/>
      <c r="O879" s="2344"/>
      <c r="P879" s="2344"/>
      <c r="Q879" s="2344"/>
      <c r="R879" s="1437"/>
      <c r="S879" s="1437"/>
      <c r="T879" s="1437"/>
      <c r="U879" s="1437"/>
    </row>
    <row r="880" spans="2:21" ht="15">
      <c r="B880" s="2972" t="s">
        <v>655</v>
      </c>
      <c r="C880" s="2964"/>
      <c r="D880" s="2964"/>
      <c r="E880" s="1437"/>
      <c r="F880" s="2973" t="s">
        <v>3020</v>
      </c>
      <c r="G880" s="2964"/>
      <c r="H880" s="2964"/>
      <c r="I880" s="2964"/>
      <c r="J880" s="2964"/>
      <c r="K880" s="1437"/>
      <c r="L880" s="1437"/>
      <c r="M880" s="1437"/>
      <c r="N880" s="1437"/>
      <c r="O880" s="2344"/>
      <c r="P880" s="2344"/>
      <c r="Q880" s="2344"/>
      <c r="R880" s="1437"/>
      <c r="S880" s="1437"/>
      <c r="T880" s="1437"/>
      <c r="U880" s="1437"/>
    </row>
    <row r="881" spans="2:21" ht="15">
      <c r="B881" s="1437"/>
      <c r="C881" s="1437"/>
      <c r="D881" s="1437"/>
      <c r="E881" s="1437"/>
      <c r="F881" s="1437"/>
      <c r="G881" s="1437"/>
      <c r="H881" s="1437"/>
      <c r="I881" s="1437"/>
      <c r="J881" s="1437"/>
      <c r="K881" s="1437"/>
      <c r="L881" s="1437"/>
      <c r="M881" s="1437"/>
      <c r="N881" s="1437"/>
      <c r="O881" s="2344"/>
      <c r="P881" s="2344"/>
      <c r="Q881" s="2344"/>
      <c r="R881" s="1437"/>
      <c r="S881" s="1437"/>
      <c r="T881" s="1437"/>
      <c r="U881" s="1437"/>
    </row>
    <row r="882" spans="2:21" ht="94.5">
      <c r="B882" s="2345"/>
      <c r="C882" s="2346" t="s">
        <v>657</v>
      </c>
      <c r="D882" s="2974" t="s">
        <v>587</v>
      </c>
      <c r="E882" s="2975"/>
      <c r="F882" s="2975"/>
      <c r="G882" s="2976"/>
      <c r="H882" s="2974" t="s">
        <v>2751</v>
      </c>
      <c r="I882" s="2976"/>
      <c r="J882" s="2974" t="s">
        <v>2752</v>
      </c>
      <c r="K882" s="2976"/>
      <c r="L882" s="2346" t="s">
        <v>2753</v>
      </c>
      <c r="M882" s="2346" t="s">
        <v>2754</v>
      </c>
      <c r="N882" s="2346" t="s">
        <v>2755</v>
      </c>
      <c r="O882" s="2347" t="s">
        <v>2756</v>
      </c>
      <c r="P882" s="2347" t="s">
        <v>2757</v>
      </c>
      <c r="Q882" s="2347" t="s">
        <v>2758</v>
      </c>
      <c r="R882" s="2346" t="s">
        <v>623</v>
      </c>
      <c r="S882" s="2346" t="s">
        <v>2759</v>
      </c>
      <c r="T882" s="2346" t="s">
        <v>2760</v>
      </c>
      <c r="U882" s="2346" t="s">
        <v>2761</v>
      </c>
    </row>
    <row r="883" spans="2:21" ht="90">
      <c r="B883" s="1437"/>
      <c r="C883" s="2348">
        <v>1</v>
      </c>
      <c r="D883" s="2969" t="s">
        <v>3021</v>
      </c>
      <c r="E883" s="2970"/>
      <c r="F883" s="2970"/>
      <c r="G883" s="2971"/>
      <c r="H883" s="2969" t="s">
        <v>1310</v>
      </c>
      <c r="I883" s="2971"/>
      <c r="J883" s="2969" t="s">
        <v>2762</v>
      </c>
      <c r="K883" s="2971"/>
      <c r="L883" s="2348" t="s">
        <v>2763</v>
      </c>
      <c r="M883" s="2348" t="s">
        <v>2764</v>
      </c>
      <c r="N883" s="2348" t="s">
        <v>2765</v>
      </c>
      <c r="O883" s="2349">
        <v>83333</v>
      </c>
      <c r="P883" s="2350" t="s">
        <v>2766</v>
      </c>
      <c r="Q883" s="2350">
        <v>83333</v>
      </c>
      <c r="R883" s="2348"/>
      <c r="S883" s="2348" t="s">
        <v>2767</v>
      </c>
      <c r="T883" s="2348" t="s">
        <v>2768</v>
      </c>
      <c r="U883" s="2348"/>
    </row>
    <row r="884" spans="2:21" ht="30">
      <c r="B884" s="1437"/>
      <c r="C884" s="2351" t="s">
        <v>676</v>
      </c>
      <c r="D884" s="2963"/>
      <c r="E884" s="2964"/>
      <c r="F884" s="2964"/>
      <c r="G884" s="2965"/>
      <c r="H884" s="2963"/>
      <c r="I884" s="2965"/>
      <c r="J884" s="2963"/>
      <c r="K884" s="2965"/>
      <c r="L884" s="2351" t="s">
        <v>676</v>
      </c>
      <c r="M884" s="2351" t="s">
        <v>676</v>
      </c>
      <c r="N884" s="2351" t="s">
        <v>676</v>
      </c>
      <c r="O884" s="2352" t="s">
        <v>676</v>
      </c>
      <c r="P884" s="2350" t="s">
        <v>2769</v>
      </c>
      <c r="Q884" s="2350">
        <v>0</v>
      </c>
      <c r="R884" s="2351" t="s">
        <v>676</v>
      </c>
      <c r="S884" s="2351" t="s">
        <v>676</v>
      </c>
      <c r="T884" s="2351" t="s">
        <v>676</v>
      </c>
      <c r="U884" s="2351" t="s">
        <v>676</v>
      </c>
    </row>
    <row r="885" spans="2:21" ht="30">
      <c r="B885" s="1437"/>
      <c r="C885" s="2351" t="s">
        <v>676</v>
      </c>
      <c r="D885" s="2966" t="s">
        <v>676</v>
      </c>
      <c r="E885" s="2964"/>
      <c r="F885" s="2964"/>
      <c r="G885" s="2965"/>
      <c r="H885" s="2968" t="s">
        <v>676</v>
      </c>
      <c r="I885" s="2964"/>
      <c r="J885" s="2963" t="s">
        <v>676</v>
      </c>
      <c r="K885" s="2965"/>
      <c r="L885" s="2351" t="s">
        <v>676</v>
      </c>
      <c r="M885" s="2351" t="s">
        <v>676</v>
      </c>
      <c r="N885" s="2351" t="s">
        <v>676</v>
      </c>
      <c r="O885" s="2352" t="s">
        <v>676</v>
      </c>
      <c r="P885" s="2350" t="s">
        <v>2770</v>
      </c>
      <c r="Q885" s="2350">
        <v>0</v>
      </c>
      <c r="R885" s="2351" t="s">
        <v>676</v>
      </c>
      <c r="S885" s="2351" t="s">
        <v>676</v>
      </c>
      <c r="T885" s="2351" t="s">
        <v>676</v>
      </c>
      <c r="U885" s="2351" t="s">
        <v>676</v>
      </c>
    </row>
    <row r="886" spans="2:21" ht="60">
      <c r="B886" s="1437"/>
      <c r="C886" s="2348">
        <v>2</v>
      </c>
      <c r="D886" s="2969" t="s">
        <v>3022</v>
      </c>
      <c r="E886" s="2970"/>
      <c r="F886" s="2970"/>
      <c r="G886" s="2971"/>
      <c r="H886" s="2969" t="s">
        <v>1836</v>
      </c>
      <c r="I886" s="2971"/>
      <c r="J886" s="2969" t="s">
        <v>2762</v>
      </c>
      <c r="K886" s="2971"/>
      <c r="L886" s="2348" t="s">
        <v>2763</v>
      </c>
      <c r="M886" s="2348" t="s">
        <v>2764</v>
      </c>
      <c r="N886" s="2348" t="s">
        <v>2776</v>
      </c>
      <c r="O886" s="2349">
        <v>333333</v>
      </c>
      <c r="P886" s="2350" t="s">
        <v>2766</v>
      </c>
      <c r="Q886" s="2350">
        <v>333333</v>
      </c>
      <c r="R886" s="2348" t="s">
        <v>688</v>
      </c>
      <c r="S886" s="2348" t="s">
        <v>2767</v>
      </c>
      <c r="T886" s="2348" t="s">
        <v>2768</v>
      </c>
      <c r="U886" s="2348"/>
    </row>
    <row r="887" spans="2:21" ht="30">
      <c r="B887" s="1437"/>
      <c r="C887" s="2351" t="s">
        <v>676</v>
      </c>
      <c r="D887" s="2963"/>
      <c r="E887" s="2964"/>
      <c r="F887" s="2964"/>
      <c r="G887" s="2965"/>
      <c r="H887" s="2963"/>
      <c r="I887" s="2965"/>
      <c r="J887" s="2963" t="s">
        <v>676</v>
      </c>
      <c r="K887" s="2965"/>
      <c r="L887" s="2351" t="s">
        <v>676</v>
      </c>
      <c r="M887" s="2351" t="s">
        <v>676</v>
      </c>
      <c r="N887" s="2351" t="s">
        <v>676</v>
      </c>
      <c r="O887" s="2352" t="s">
        <v>676</v>
      </c>
      <c r="P887" s="2350" t="s">
        <v>2769</v>
      </c>
      <c r="Q887" s="2350">
        <v>0</v>
      </c>
      <c r="R887" s="2351" t="s">
        <v>676</v>
      </c>
      <c r="S887" s="2351" t="s">
        <v>676</v>
      </c>
      <c r="T887" s="2351" t="s">
        <v>676</v>
      </c>
      <c r="U887" s="2351" t="s">
        <v>676</v>
      </c>
    </row>
    <row r="888" spans="2:21" ht="30">
      <c r="B888" s="1437"/>
      <c r="C888" s="2351" t="s">
        <v>676</v>
      </c>
      <c r="D888" s="2966" t="s">
        <v>676</v>
      </c>
      <c r="E888" s="2964"/>
      <c r="F888" s="2964"/>
      <c r="G888" s="2965"/>
      <c r="H888" s="2968" t="s">
        <v>676</v>
      </c>
      <c r="I888" s="2964"/>
      <c r="J888" s="2963" t="s">
        <v>676</v>
      </c>
      <c r="K888" s="2965"/>
      <c r="L888" s="2351" t="s">
        <v>676</v>
      </c>
      <c r="M888" s="2351" t="s">
        <v>676</v>
      </c>
      <c r="N888" s="2351" t="s">
        <v>676</v>
      </c>
      <c r="O888" s="2352" t="s">
        <v>676</v>
      </c>
      <c r="P888" s="2350" t="s">
        <v>2770</v>
      </c>
      <c r="Q888" s="2350">
        <v>0</v>
      </c>
      <c r="R888" s="2351" t="s">
        <v>676</v>
      </c>
      <c r="S888" s="2351" t="s">
        <v>676</v>
      </c>
      <c r="T888" s="2351" t="s">
        <v>676</v>
      </c>
      <c r="U888" s="2351" t="s">
        <v>676</v>
      </c>
    </row>
    <row r="889" spans="2:21" ht="90">
      <c r="B889" s="1437"/>
      <c r="C889" s="2348">
        <v>3</v>
      </c>
      <c r="D889" s="2969" t="s">
        <v>3023</v>
      </c>
      <c r="E889" s="2970"/>
      <c r="F889" s="2970"/>
      <c r="G889" s="2971"/>
      <c r="H889" s="2969" t="s">
        <v>1106</v>
      </c>
      <c r="I889" s="2971"/>
      <c r="J889" s="2969" t="s">
        <v>2762</v>
      </c>
      <c r="K889" s="2971"/>
      <c r="L889" s="2348" t="s">
        <v>2763</v>
      </c>
      <c r="M889" s="2348" t="s">
        <v>2775</v>
      </c>
      <c r="N889" s="2348" t="s">
        <v>2765</v>
      </c>
      <c r="O889" s="2349">
        <v>75000</v>
      </c>
      <c r="P889" s="2350" t="s">
        <v>2766</v>
      </c>
      <c r="Q889" s="2350">
        <v>75000</v>
      </c>
      <c r="R889" s="2348"/>
      <c r="S889" s="2348" t="s">
        <v>2767</v>
      </c>
      <c r="T889" s="2348" t="s">
        <v>2768</v>
      </c>
      <c r="U889" s="2348"/>
    </row>
    <row r="890" spans="2:21" ht="30">
      <c r="B890" s="1437"/>
      <c r="C890" s="2351" t="s">
        <v>676</v>
      </c>
      <c r="D890" s="2963"/>
      <c r="E890" s="2964"/>
      <c r="F890" s="2964"/>
      <c r="G890" s="2965"/>
      <c r="H890" s="2963"/>
      <c r="I890" s="2965"/>
      <c r="J890" s="2963" t="s">
        <v>676</v>
      </c>
      <c r="K890" s="2965"/>
      <c r="L890" s="2351" t="s">
        <v>676</v>
      </c>
      <c r="M890" s="2351" t="s">
        <v>676</v>
      </c>
      <c r="N890" s="2351" t="s">
        <v>676</v>
      </c>
      <c r="O890" s="2352" t="s">
        <v>676</v>
      </c>
      <c r="P890" s="2350" t="s">
        <v>2769</v>
      </c>
      <c r="Q890" s="2350">
        <v>0</v>
      </c>
      <c r="R890" s="2351" t="s">
        <v>676</v>
      </c>
      <c r="S890" s="2351" t="s">
        <v>676</v>
      </c>
      <c r="T890" s="2351" t="s">
        <v>676</v>
      </c>
      <c r="U890" s="2351" t="s">
        <v>676</v>
      </c>
    </row>
    <row r="891" spans="2:21" ht="30">
      <c r="B891" s="1437"/>
      <c r="C891" s="2351" t="s">
        <v>676</v>
      </c>
      <c r="D891" s="2966" t="s">
        <v>676</v>
      </c>
      <c r="E891" s="2964"/>
      <c r="F891" s="2964"/>
      <c r="G891" s="2965"/>
      <c r="H891" s="2968" t="s">
        <v>676</v>
      </c>
      <c r="I891" s="2964"/>
      <c r="J891" s="2963" t="s">
        <v>676</v>
      </c>
      <c r="K891" s="2965"/>
      <c r="L891" s="2351" t="s">
        <v>676</v>
      </c>
      <c r="M891" s="2351" t="s">
        <v>676</v>
      </c>
      <c r="N891" s="2351" t="s">
        <v>676</v>
      </c>
      <c r="O891" s="2352" t="s">
        <v>676</v>
      </c>
      <c r="P891" s="2350" t="s">
        <v>2770</v>
      </c>
      <c r="Q891" s="2350">
        <v>0</v>
      </c>
      <c r="R891" s="2351" t="s">
        <v>676</v>
      </c>
      <c r="S891" s="2351" t="s">
        <v>676</v>
      </c>
      <c r="T891" s="2351" t="s">
        <v>676</v>
      </c>
      <c r="U891" s="2351" t="s">
        <v>676</v>
      </c>
    </row>
    <row r="892" spans="2:21" ht="60">
      <c r="B892" s="1437"/>
      <c r="C892" s="2348">
        <v>4</v>
      </c>
      <c r="D892" s="2969" t="s">
        <v>1596</v>
      </c>
      <c r="E892" s="2970"/>
      <c r="F892" s="2970"/>
      <c r="G892" s="2971"/>
      <c r="H892" s="2969" t="s">
        <v>1434</v>
      </c>
      <c r="I892" s="2971"/>
      <c r="J892" s="2969" t="s">
        <v>2762</v>
      </c>
      <c r="K892" s="2971"/>
      <c r="L892" s="2348" t="s">
        <v>2763</v>
      </c>
      <c r="M892" s="2348" t="s">
        <v>2775</v>
      </c>
      <c r="N892" s="2348" t="s">
        <v>2776</v>
      </c>
      <c r="O892" s="2349">
        <v>1333333</v>
      </c>
      <c r="P892" s="2350" t="s">
        <v>2766</v>
      </c>
      <c r="Q892" s="2350">
        <v>1333333</v>
      </c>
      <c r="R892" s="2348" t="s">
        <v>892</v>
      </c>
      <c r="S892" s="2348" t="s">
        <v>2767</v>
      </c>
      <c r="T892" s="2348" t="s">
        <v>2768</v>
      </c>
      <c r="U892" s="2348"/>
    </row>
    <row r="893" spans="2:21" ht="30">
      <c r="B893" s="1437"/>
      <c r="C893" s="2351" t="s">
        <v>676</v>
      </c>
      <c r="D893" s="2963"/>
      <c r="E893" s="2964"/>
      <c r="F893" s="2964"/>
      <c r="G893" s="2965"/>
      <c r="H893" s="2963" t="s">
        <v>676</v>
      </c>
      <c r="I893" s="2965"/>
      <c r="J893" s="2963" t="s">
        <v>676</v>
      </c>
      <c r="K893" s="2965"/>
      <c r="L893" s="2351" t="s">
        <v>676</v>
      </c>
      <c r="M893" s="2351" t="s">
        <v>676</v>
      </c>
      <c r="N893" s="2351" t="s">
        <v>676</v>
      </c>
      <c r="O893" s="2352" t="s">
        <v>676</v>
      </c>
      <c r="P893" s="2350" t="s">
        <v>2769</v>
      </c>
      <c r="Q893" s="2350">
        <v>0</v>
      </c>
      <c r="R893" s="2351" t="s">
        <v>676</v>
      </c>
      <c r="S893" s="2351" t="s">
        <v>676</v>
      </c>
      <c r="T893" s="2351" t="s">
        <v>676</v>
      </c>
      <c r="U893" s="2351" t="s">
        <v>676</v>
      </c>
    </row>
    <row r="894" spans="2:21" ht="30">
      <c r="B894" s="1437"/>
      <c r="C894" s="2351" t="s">
        <v>676</v>
      </c>
      <c r="D894" s="2966"/>
      <c r="E894" s="2967"/>
      <c r="F894" s="2967"/>
      <c r="G894" s="2965"/>
      <c r="H894" s="2968" t="s">
        <v>676</v>
      </c>
      <c r="I894" s="2967"/>
      <c r="J894" s="2963" t="s">
        <v>676</v>
      </c>
      <c r="K894" s="2965"/>
      <c r="L894" s="2351" t="s">
        <v>676</v>
      </c>
      <c r="M894" s="2351" t="s">
        <v>676</v>
      </c>
      <c r="N894" s="2351" t="s">
        <v>676</v>
      </c>
      <c r="O894" s="2352" t="s">
        <v>676</v>
      </c>
      <c r="P894" s="2349" t="s">
        <v>2770</v>
      </c>
      <c r="Q894" s="2349">
        <v>0</v>
      </c>
      <c r="R894" s="2351" t="s">
        <v>676</v>
      </c>
      <c r="S894" s="2351" t="s">
        <v>676</v>
      </c>
      <c r="T894" s="2351" t="s">
        <v>676</v>
      </c>
      <c r="U894" s="2351" t="s">
        <v>676</v>
      </c>
    </row>
    <row r="895" spans="2:21" ht="15">
      <c r="B895" s="2353"/>
      <c r="C895" s="2354" t="s">
        <v>82</v>
      </c>
      <c r="D895" s="2355"/>
      <c r="E895" s="2355"/>
      <c r="F895" s="2355"/>
      <c r="G895" s="2355"/>
      <c r="H895" s="2355"/>
      <c r="I895" s="2356">
        <f>SUM(I881:I894)</f>
        <v>0</v>
      </c>
      <c r="J895" s="2355"/>
      <c r="K895" s="2356">
        <f>SUM(K881:K894)</f>
        <v>0</v>
      </c>
      <c r="L895" s="2357"/>
      <c r="M895" s="2355"/>
      <c r="N895" s="2355"/>
      <c r="O895" s="2358">
        <f>SUM(O883:O894)</f>
        <v>1824999</v>
      </c>
      <c r="P895" s="2340"/>
      <c r="Q895" s="2340">
        <f>SUM(Q883:Q894)</f>
        <v>1824999</v>
      </c>
      <c r="R895" s="2337"/>
      <c r="S895" s="2337"/>
      <c r="T895" s="2337"/>
      <c r="U895" s="2342"/>
    </row>
    <row r="896" spans="2:21" ht="20.25">
      <c r="B896" s="2324"/>
      <c r="C896" s="2325"/>
      <c r="D896" s="2324"/>
      <c r="E896" s="2324"/>
      <c r="F896" s="2325"/>
      <c r="G896" s="2324"/>
      <c r="H896" s="2324"/>
      <c r="I896" s="2324"/>
      <c r="J896" s="2324"/>
      <c r="K896" s="2326"/>
      <c r="L896" s="2327"/>
      <c r="M896" s="2326"/>
      <c r="N896" s="2326"/>
      <c r="O896" s="2326"/>
      <c r="P896" s="2328" t="s">
        <v>2789</v>
      </c>
      <c r="Q896" s="2326"/>
      <c r="R896" s="2326"/>
      <c r="S896" s="2326"/>
      <c r="T896" s="2326"/>
      <c r="U896" s="2326"/>
    </row>
    <row r="897" spans="2:21" ht="20.25">
      <c r="B897" s="2326"/>
      <c r="C897" s="2326"/>
      <c r="D897" s="2326"/>
      <c r="E897" s="2326"/>
      <c r="F897" s="2326"/>
      <c r="G897" s="2326"/>
      <c r="H897" s="2326"/>
      <c r="I897" s="2326"/>
      <c r="J897" s="2326"/>
      <c r="K897" s="2326"/>
      <c r="L897" s="2327"/>
      <c r="M897" s="2326"/>
      <c r="N897" s="2326"/>
      <c r="O897" s="2326"/>
      <c r="P897" s="2328" t="s">
        <v>2790</v>
      </c>
      <c r="Q897" s="2326"/>
      <c r="R897" s="2326"/>
      <c r="S897" s="2326"/>
      <c r="T897" s="2326"/>
      <c r="U897" s="2326"/>
    </row>
    <row r="898" spans="2:21" ht="15">
      <c r="B898" s="2359"/>
      <c r="C898" s="2360"/>
      <c r="D898" s="2359"/>
      <c r="E898" s="2359"/>
      <c r="F898" s="2359"/>
      <c r="G898" s="2361"/>
      <c r="H898" s="2359"/>
      <c r="I898" s="2359"/>
      <c r="J898" s="2359"/>
      <c r="K898" s="2359"/>
      <c r="L898" s="2360"/>
      <c r="M898" s="2359"/>
      <c r="N898" s="2359"/>
      <c r="O898" s="2327"/>
      <c r="P898" s="2326"/>
      <c r="Q898" s="2326"/>
      <c r="R898" s="2359"/>
      <c r="S898" s="2359"/>
      <c r="T898" s="2359"/>
      <c r="U898" s="2359"/>
    </row>
    <row r="899" spans="2:21" ht="20.25">
      <c r="B899" s="2911" t="s">
        <v>2749</v>
      </c>
      <c r="C899" s="2962"/>
      <c r="D899" s="2962"/>
      <c r="E899" s="2962"/>
      <c r="F899" s="2962"/>
      <c r="G899" s="2962"/>
      <c r="H899" s="2962"/>
      <c r="I899" s="1586"/>
      <c r="J899" s="1586"/>
      <c r="K899" s="1586"/>
      <c r="L899" s="1586"/>
      <c r="M899" s="1586"/>
      <c r="N899" s="1586"/>
      <c r="O899" s="2314"/>
      <c r="P899" s="2314"/>
      <c r="Q899" s="2314"/>
      <c r="R899" s="1586"/>
      <c r="S899" s="1586"/>
      <c r="T899" s="1586"/>
      <c r="U899" s="1586"/>
    </row>
    <row r="900" spans="2:21" ht="15">
      <c r="B900" s="1586"/>
      <c r="C900" s="1586"/>
      <c r="D900" s="1586"/>
      <c r="E900" s="1586"/>
      <c r="F900" s="1586"/>
      <c r="G900" s="1586"/>
      <c r="H900" s="1586"/>
      <c r="I900" s="1586"/>
      <c r="J900" s="1586"/>
      <c r="K900" s="1586"/>
      <c r="L900" s="1586"/>
      <c r="M900" s="1586"/>
      <c r="N900" s="1586"/>
      <c r="O900" s="2314"/>
      <c r="P900" s="2314"/>
      <c r="Q900" s="2314"/>
      <c r="R900" s="1586"/>
      <c r="S900" s="1586"/>
      <c r="T900" s="1586"/>
      <c r="U900" s="1586"/>
    </row>
    <row r="901" spans="2:21" ht="15">
      <c r="B901" s="2912" t="s">
        <v>653</v>
      </c>
      <c r="C901" s="2914"/>
      <c r="D901" s="2914"/>
      <c r="E901" s="1586"/>
      <c r="F901" s="2315">
        <v>2020</v>
      </c>
      <c r="G901" s="1586"/>
      <c r="H901" s="1586"/>
      <c r="I901" s="1586"/>
      <c r="J901" s="1586"/>
      <c r="K901" s="1586"/>
      <c r="L901" s="1586"/>
      <c r="M901" s="1586"/>
      <c r="N901" s="1586"/>
      <c r="O901" s="2314"/>
      <c r="P901" s="2314"/>
      <c r="Q901" s="2314"/>
      <c r="R901" s="1586"/>
      <c r="S901" s="1586"/>
      <c r="T901" s="1586"/>
      <c r="U901" s="1586"/>
    </row>
    <row r="902" spans="2:21" ht="15">
      <c r="B902" s="1586"/>
      <c r="C902" s="1586"/>
      <c r="D902" s="1586"/>
      <c r="E902" s="1586"/>
      <c r="F902" s="1586"/>
      <c r="G902" s="1586"/>
      <c r="H902" s="1586"/>
      <c r="I902" s="1586"/>
      <c r="J902" s="1586"/>
      <c r="K902" s="1586"/>
      <c r="L902" s="1586"/>
      <c r="M902" s="1586"/>
      <c r="N902" s="1586"/>
      <c r="O902" s="2314"/>
      <c r="P902" s="2314"/>
      <c r="Q902" s="2314"/>
      <c r="R902" s="1586"/>
      <c r="S902" s="1586"/>
      <c r="T902" s="1586"/>
      <c r="U902" s="1586"/>
    </row>
    <row r="903" spans="2:21" ht="15">
      <c r="B903" s="2912" t="s">
        <v>655</v>
      </c>
      <c r="C903" s="2914"/>
      <c r="D903" s="2914"/>
      <c r="E903" s="1586"/>
      <c r="F903" s="2913" t="s">
        <v>1711</v>
      </c>
      <c r="G903" s="2914"/>
      <c r="H903" s="2914"/>
      <c r="I903" s="2914"/>
      <c r="J903" s="2914"/>
      <c r="K903" s="1586"/>
      <c r="L903" s="1586"/>
      <c r="M903" s="1586"/>
      <c r="N903" s="1586"/>
      <c r="O903" s="2314"/>
      <c r="P903" s="2314"/>
      <c r="Q903" s="2314"/>
      <c r="R903" s="1586"/>
      <c r="S903" s="1586"/>
      <c r="T903" s="1586"/>
      <c r="U903" s="1586"/>
    </row>
    <row r="904" spans="2:21" ht="15">
      <c r="B904" s="1586"/>
      <c r="C904" s="1586"/>
      <c r="D904" s="1586"/>
      <c r="E904" s="1586"/>
      <c r="F904" s="1586"/>
      <c r="G904" s="1586"/>
      <c r="H904" s="1586"/>
      <c r="I904" s="1586"/>
      <c r="J904" s="1586"/>
      <c r="K904" s="1586"/>
      <c r="L904" s="1586"/>
      <c r="M904" s="1586"/>
      <c r="N904" s="1586"/>
      <c r="O904" s="2314"/>
      <c r="P904" s="2314"/>
      <c r="Q904" s="2314"/>
      <c r="R904" s="1586"/>
      <c r="S904" s="1586"/>
      <c r="T904" s="1586"/>
      <c r="U904" s="1586"/>
    </row>
    <row r="905" spans="2:21" ht="94.5">
      <c r="B905" s="2316"/>
      <c r="C905" s="2266" t="s">
        <v>657</v>
      </c>
      <c r="D905" s="2893" t="s">
        <v>587</v>
      </c>
      <c r="E905" s="2909"/>
      <c r="F905" s="2909"/>
      <c r="G905" s="2910"/>
      <c r="H905" s="2893" t="s">
        <v>2751</v>
      </c>
      <c r="I905" s="2910"/>
      <c r="J905" s="2893" t="s">
        <v>2752</v>
      </c>
      <c r="K905" s="2910"/>
      <c r="L905" s="2266" t="s">
        <v>2753</v>
      </c>
      <c r="M905" s="2266" t="s">
        <v>2754</v>
      </c>
      <c r="N905" s="2266" t="s">
        <v>2755</v>
      </c>
      <c r="O905" s="2267" t="s">
        <v>2756</v>
      </c>
      <c r="P905" s="2267" t="s">
        <v>2757</v>
      </c>
      <c r="Q905" s="2267" t="s">
        <v>2758</v>
      </c>
      <c r="R905" s="2266" t="s">
        <v>623</v>
      </c>
      <c r="S905" s="2266" t="s">
        <v>2759</v>
      </c>
      <c r="T905" s="2266" t="s">
        <v>2760</v>
      </c>
      <c r="U905" s="2266" t="s">
        <v>2761</v>
      </c>
    </row>
    <row r="906" spans="2:21" ht="60">
      <c r="B906" s="2316"/>
      <c r="C906" s="2268">
        <v>1</v>
      </c>
      <c r="D906" s="2882" t="s">
        <v>3024</v>
      </c>
      <c r="E906" s="2905"/>
      <c r="F906" s="2905"/>
      <c r="G906" s="2906"/>
      <c r="H906" s="2882" t="s">
        <v>1183</v>
      </c>
      <c r="I906" s="2906"/>
      <c r="J906" s="2882" t="s">
        <v>2762</v>
      </c>
      <c r="K906" s="2906"/>
      <c r="L906" s="2268" t="s">
        <v>2763</v>
      </c>
      <c r="M906" s="2268" t="s">
        <v>2775</v>
      </c>
      <c r="N906" s="2268" t="s">
        <v>2776</v>
      </c>
      <c r="O906" s="2269">
        <v>4980000</v>
      </c>
      <c r="P906" s="2270" t="s">
        <v>2766</v>
      </c>
      <c r="Q906" s="2270">
        <v>4980000</v>
      </c>
      <c r="R906" s="2268" t="s">
        <v>892</v>
      </c>
      <c r="S906" s="2268" t="s">
        <v>2919</v>
      </c>
      <c r="T906" s="2268" t="s">
        <v>2768</v>
      </c>
      <c r="U906" s="2268"/>
    </row>
    <row r="907" spans="2:21" ht="30">
      <c r="B907" s="2316"/>
      <c r="C907" s="2271" t="s">
        <v>676</v>
      </c>
      <c r="D907" s="2888" t="s">
        <v>676</v>
      </c>
      <c r="E907" s="2907"/>
      <c r="F907" s="2907"/>
      <c r="G907" s="2908"/>
      <c r="H907" s="2888" t="s">
        <v>676</v>
      </c>
      <c r="I907" s="2908"/>
      <c r="J907" s="2888" t="s">
        <v>676</v>
      </c>
      <c r="K907" s="2908"/>
      <c r="L907" s="2271" t="s">
        <v>676</v>
      </c>
      <c r="M907" s="2271" t="s">
        <v>676</v>
      </c>
      <c r="N907" s="2271" t="s">
        <v>676</v>
      </c>
      <c r="O907" s="2272" t="s">
        <v>676</v>
      </c>
      <c r="P907" s="2270" t="s">
        <v>2769</v>
      </c>
      <c r="Q907" s="2270">
        <v>0</v>
      </c>
      <c r="R907" s="2271" t="s">
        <v>676</v>
      </c>
      <c r="S907" s="2271" t="s">
        <v>676</v>
      </c>
      <c r="T907" s="2271" t="s">
        <v>676</v>
      </c>
      <c r="U907" s="2271" t="s">
        <v>676</v>
      </c>
    </row>
    <row r="908" spans="2:21" ht="30">
      <c r="B908" s="2316"/>
      <c r="C908" s="2273" t="s">
        <v>676</v>
      </c>
      <c r="D908" s="2896" t="s">
        <v>676</v>
      </c>
      <c r="E908" s="2897"/>
      <c r="F908" s="2897"/>
      <c r="G908" s="2898"/>
      <c r="H908" s="2899" t="s">
        <v>676</v>
      </c>
      <c r="I908" s="2897"/>
      <c r="J908" s="2900" t="s">
        <v>676</v>
      </c>
      <c r="K908" s="2898"/>
      <c r="L908" s="2273" t="s">
        <v>676</v>
      </c>
      <c r="M908" s="2273" t="s">
        <v>676</v>
      </c>
      <c r="N908" s="2273" t="s">
        <v>676</v>
      </c>
      <c r="O908" s="2274" t="s">
        <v>676</v>
      </c>
      <c r="P908" s="2270" t="s">
        <v>2770</v>
      </c>
      <c r="Q908" s="2270">
        <v>0</v>
      </c>
      <c r="R908" s="2273" t="s">
        <v>676</v>
      </c>
      <c r="S908" s="2273" t="s">
        <v>676</v>
      </c>
      <c r="T908" s="2273" t="s">
        <v>676</v>
      </c>
      <c r="U908" s="2273" t="s">
        <v>676</v>
      </c>
    </row>
    <row r="909" spans="2:21" ht="15">
      <c r="B909" s="2359"/>
      <c r="C909" s="2362"/>
      <c r="D909" s="2363" t="s">
        <v>82</v>
      </c>
      <c r="E909" s="2337"/>
      <c r="F909" s="2337"/>
      <c r="G909" s="2364"/>
      <c r="H909" s="2337"/>
      <c r="I909" s="2337"/>
      <c r="J909" s="2337"/>
      <c r="K909" s="2337"/>
      <c r="L909" s="2338"/>
      <c r="M909" s="2337"/>
      <c r="N909" s="2337"/>
      <c r="O909" s="2365">
        <f>SUM(O906:O908)</f>
        <v>4980000</v>
      </c>
      <c r="P909" s="2340"/>
      <c r="Q909" s="2340">
        <f>SUM(Q906:Q908)</f>
        <v>4980000</v>
      </c>
      <c r="R909" s="2337"/>
      <c r="S909" s="2337"/>
      <c r="T909" s="2337"/>
      <c r="U909" s="2342"/>
    </row>
    <row r="910" spans="2:21" ht="20.25">
      <c r="B910" s="2359"/>
      <c r="C910" s="2360"/>
      <c r="D910" s="2359"/>
      <c r="E910" s="2359"/>
      <c r="F910" s="2359"/>
      <c r="G910" s="2361"/>
      <c r="H910" s="2359"/>
      <c r="I910" s="2359"/>
      <c r="J910" s="2359"/>
      <c r="K910" s="2359"/>
      <c r="L910" s="2360"/>
      <c r="M910" s="2359"/>
      <c r="N910" s="2359"/>
      <c r="O910" s="2327"/>
      <c r="P910" s="2328" t="s">
        <v>2789</v>
      </c>
      <c r="Q910" s="2326"/>
      <c r="R910" s="2359"/>
      <c r="S910" s="2359"/>
      <c r="T910" s="2359"/>
      <c r="U910" s="2359"/>
    </row>
    <row r="911" spans="2:21" ht="20.25">
      <c r="B911" s="2359"/>
      <c r="C911" s="2360"/>
      <c r="D911" s="2359"/>
      <c r="E911" s="2359"/>
      <c r="F911" s="2359"/>
      <c r="G911" s="2361"/>
      <c r="H911" s="2359"/>
      <c r="I911" s="2359"/>
      <c r="J911" s="2359"/>
      <c r="K911" s="2359"/>
      <c r="L911" s="2360"/>
      <c r="M911" s="2359"/>
      <c r="N911" s="2359"/>
      <c r="O911" s="2327"/>
      <c r="P911" s="2328" t="s">
        <v>2790</v>
      </c>
      <c r="Q911" s="2326"/>
      <c r="R911" s="2359"/>
      <c r="S911" s="2359"/>
      <c r="T911" s="2359"/>
      <c r="U911" s="2359"/>
    </row>
    <row r="912" spans="2:21" ht="15">
      <c r="B912" s="2359"/>
      <c r="C912" s="2360"/>
      <c r="D912" s="2359"/>
      <c r="E912" s="2359"/>
      <c r="F912" s="2359"/>
      <c r="G912" s="2361"/>
      <c r="H912" s="2359"/>
      <c r="I912" s="2359"/>
      <c r="J912" s="2359"/>
      <c r="K912" s="2359"/>
      <c r="L912" s="2360"/>
      <c r="M912" s="2359"/>
      <c r="N912" s="2359"/>
      <c r="O912" s="2327"/>
      <c r="P912" s="2326"/>
      <c r="Q912" s="2326"/>
      <c r="R912" s="2359"/>
      <c r="S912" s="2359"/>
      <c r="T912" s="2359"/>
      <c r="U912" s="2359"/>
    </row>
    <row r="913" spans="2:21" ht="20.25">
      <c r="B913" s="2911" t="s">
        <v>2749</v>
      </c>
      <c r="C913" s="2962"/>
      <c r="D913" s="2962"/>
      <c r="E913" s="2962"/>
      <c r="F913" s="2962"/>
      <c r="G913" s="2962"/>
      <c r="H913" s="2962"/>
      <c r="I913" s="1586"/>
      <c r="J913" s="1586"/>
      <c r="K913" s="1586"/>
      <c r="L913" s="1586"/>
      <c r="M913" s="1586"/>
      <c r="N913" s="1586"/>
      <c r="O913" s="2314"/>
      <c r="P913" s="2314"/>
      <c r="Q913" s="2314"/>
      <c r="R913" s="1586"/>
      <c r="S913" s="1586"/>
      <c r="T913" s="1586"/>
      <c r="U913" s="1586"/>
    </row>
    <row r="914" spans="2:21" ht="15">
      <c r="B914" s="1586"/>
      <c r="C914" s="1586"/>
      <c r="D914" s="1586"/>
      <c r="E914" s="1586"/>
      <c r="F914" s="1586"/>
      <c r="G914" s="1586"/>
      <c r="H914" s="1586"/>
      <c r="I914" s="1586"/>
      <c r="J914" s="1586"/>
      <c r="K914" s="1586"/>
      <c r="L914" s="1586"/>
      <c r="M914" s="1586"/>
      <c r="N914" s="1586"/>
      <c r="O914" s="2314"/>
      <c r="P914" s="2314"/>
      <c r="Q914" s="2314"/>
      <c r="R914" s="1586"/>
      <c r="S914" s="1586"/>
      <c r="T914" s="1586"/>
      <c r="U914" s="1586"/>
    </row>
    <row r="915" spans="2:21" ht="15">
      <c r="B915" s="2912" t="s">
        <v>653</v>
      </c>
      <c r="C915" s="2914"/>
      <c r="D915" s="2914"/>
      <c r="E915" s="1586"/>
      <c r="F915" s="2315">
        <v>2020</v>
      </c>
      <c r="G915" s="1586"/>
      <c r="H915" s="1586"/>
      <c r="I915" s="1586"/>
      <c r="J915" s="1586"/>
      <c r="K915" s="1586"/>
      <c r="L915" s="1586"/>
      <c r="M915" s="1586"/>
      <c r="N915" s="1586"/>
      <c r="O915" s="2314"/>
      <c r="P915" s="2314"/>
      <c r="Q915" s="2314"/>
      <c r="R915" s="1586"/>
      <c r="S915" s="1586"/>
      <c r="T915" s="1586"/>
      <c r="U915" s="1586"/>
    </row>
    <row r="916" spans="2:21" ht="15">
      <c r="B916" s="1586"/>
      <c r="C916" s="1586"/>
      <c r="D916" s="1586"/>
      <c r="E916" s="1586"/>
      <c r="F916" s="1586"/>
      <c r="G916" s="1586"/>
      <c r="H916" s="1586"/>
      <c r="I916" s="1586"/>
      <c r="J916" s="1586"/>
      <c r="K916" s="1586"/>
      <c r="L916" s="1586"/>
      <c r="M916" s="1586"/>
      <c r="N916" s="1586"/>
      <c r="O916" s="2314"/>
      <c r="P916" s="2314"/>
      <c r="Q916" s="2314"/>
      <c r="R916" s="1586"/>
      <c r="S916" s="1586"/>
      <c r="T916" s="1586"/>
      <c r="U916" s="1586"/>
    </row>
    <row r="917" spans="2:21" ht="15">
      <c r="B917" s="2912" t="s">
        <v>655</v>
      </c>
      <c r="C917" s="2914"/>
      <c r="D917" s="2914"/>
      <c r="E917" s="1586"/>
      <c r="F917" s="2915" t="s">
        <v>1592</v>
      </c>
      <c r="G917" s="2916"/>
      <c r="H917" s="2916"/>
      <c r="I917" s="2916"/>
      <c r="J917" s="2916"/>
      <c r="K917" s="1586"/>
      <c r="L917" s="1586"/>
      <c r="M917" s="1586"/>
      <c r="N917" s="1586"/>
      <c r="O917" s="2314"/>
      <c r="P917" s="2314"/>
      <c r="Q917" s="2314"/>
      <c r="R917" s="1586"/>
      <c r="S917" s="1586"/>
      <c r="T917" s="1586"/>
      <c r="U917" s="1586"/>
    </row>
    <row r="918" spans="2:21" ht="15">
      <c r="B918" s="1586"/>
      <c r="C918" s="1586"/>
      <c r="D918" s="1586"/>
      <c r="E918" s="1586"/>
      <c r="F918" s="1586"/>
      <c r="G918" s="1586"/>
      <c r="H918" s="1586"/>
      <c r="I918" s="1586"/>
      <c r="J918" s="1586"/>
      <c r="K918" s="1586"/>
      <c r="L918" s="1586"/>
      <c r="M918" s="1586"/>
      <c r="N918" s="1586"/>
      <c r="O918" s="2314"/>
      <c r="P918" s="2314"/>
      <c r="Q918" s="2314"/>
      <c r="R918" s="1586"/>
      <c r="S918" s="1586"/>
      <c r="T918" s="1586"/>
      <c r="U918" s="1586"/>
    </row>
    <row r="919" spans="2:21" ht="94.5">
      <c r="B919" s="2316"/>
      <c r="C919" s="2266" t="s">
        <v>657</v>
      </c>
      <c r="D919" s="2893" t="s">
        <v>587</v>
      </c>
      <c r="E919" s="2909"/>
      <c r="F919" s="2909"/>
      <c r="G919" s="2910"/>
      <c r="H919" s="2893" t="s">
        <v>2751</v>
      </c>
      <c r="I919" s="2910"/>
      <c r="J919" s="2893" t="s">
        <v>2752</v>
      </c>
      <c r="K919" s="2910"/>
      <c r="L919" s="2266" t="s">
        <v>2753</v>
      </c>
      <c r="M919" s="2266" t="s">
        <v>2754</v>
      </c>
      <c r="N919" s="2266" t="s">
        <v>2755</v>
      </c>
      <c r="O919" s="2267" t="s">
        <v>2756</v>
      </c>
      <c r="P919" s="2267" t="s">
        <v>2757</v>
      </c>
      <c r="Q919" s="2267" t="s">
        <v>2758</v>
      </c>
      <c r="R919" s="2266" t="s">
        <v>623</v>
      </c>
      <c r="S919" s="2266" t="s">
        <v>2759</v>
      </c>
      <c r="T919" s="2266" t="s">
        <v>2760</v>
      </c>
      <c r="U919" s="2266" t="s">
        <v>2761</v>
      </c>
    </row>
    <row r="920" spans="2:21" ht="60">
      <c r="B920" s="2316"/>
      <c r="C920" s="2268">
        <v>1</v>
      </c>
      <c r="D920" s="2882" t="s">
        <v>3025</v>
      </c>
      <c r="E920" s="2905"/>
      <c r="F920" s="2905"/>
      <c r="G920" s="2906"/>
      <c r="H920" s="2882" t="s">
        <v>711</v>
      </c>
      <c r="I920" s="2906"/>
      <c r="J920" s="2882" t="s">
        <v>2762</v>
      </c>
      <c r="K920" s="2906"/>
      <c r="L920" s="2268" t="s">
        <v>2763</v>
      </c>
      <c r="M920" s="2268" t="s">
        <v>2764</v>
      </c>
      <c r="N920" s="2268" t="s">
        <v>2776</v>
      </c>
      <c r="O920" s="2269">
        <v>291666</v>
      </c>
      <c r="P920" s="2270" t="s">
        <v>2766</v>
      </c>
      <c r="Q920" s="2270">
        <v>291666</v>
      </c>
      <c r="R920" s="2268" t="s">
        <v>688</v>
      </c>
      <c r="S920" s="2268" t="s">
        <v>3026</v>
      </c>
      <c r="T920" s="2268" t="s">
        <v>2768</v>
      </c>
      <c r="U920" s="2268"/>
    </row>
    <row r="921" spans="2:21" ht="30">
      <c r="B921" s="2316"/>
      <c r="C921" s="2271" t="s">
        <v>676</v>
      </c>
      <c r="D921" s="2888" t="s">
        <v>676</v>
      </c>
      <c r="E921" s="2907"/>
      <c r="F921" s="2907"/>
      <c r="G921" s="2908"/>
      <c r="H921" s="2888" t="s">
        <v>676</v>
      </c>
      <c r="I921" s="2908"/>
      <c r="J921" s="2888" t="s">
        <v>676</v>
      </c>
      <c r="K921" s="2908"/>
      <c r="L921" s="2271" t="s">
        <v>676</v>
      </c>
      <c r="M921" s="2271" t="s">
        <v>676</v>
      </c>
      <c r="N921" s="2271" t="s">
        <v>676</v>
      </c>
      <c r="O921" s="2272" t="s">
        <v>676</v>
      </c>
      <c r="P921" s="2270" t="s">
        <v>2769</v>
      </c>
      <c r="Q921" s="2270">
        <v>0</v>
      </c>
      <c r="R921" s="2271" t="s">
        <v>676</v>
      </c>
      <c r="S921" s="2271" t="s">
        <v>676</v>
      </c>
      <c r="T921" s="2271" t="s">
        <v>676</v>
      </c>
      <c r="U921" s="2271" t="s">
        <v>676</v>
      </c>
    </row>
    <row r="922" spans="2:21" ht="30">
      <c r="B922" s="2316"/>
      <c r="C922" s="2271" t="s">
        <v>676</v>
      </c>
      <c r="D922" s="2891" t="s">
        <v>676</v>
      </c>
      <c r="E922" s="2907"/>
      <c r="F922" s="2907"/>
      <c r="G922" s="2908"/>
      <c r="H922" s="2892" t="s">
        <v>676</v>
      </c>
      <c r="I922" s="2907"/>
      <c r="J922" s="2888" t="s">
        <v>676</v>
      </c>
      <c r="K922" s="2908"/>
      <c r="L922" s="2271" t="s">
        <v>676</v>
      </c>
      <c r="M922" s="2271" t="s">
        <v>676</v>
      </c>
      <c r="N922" s="2271" t="s">
        <v>676</v>
      </c>
      <c r="O922" s="2272" t="s">
        <v>676</v>
      </c>
      <c r="P922" s="2270" t="s">
        <v>2770</v>
      </c>
      <c r="Q922" s="2270">
        <v>0</v>
      </c>
      <c r="R922" s="2271" t="s">
        <v>676</v>
      </c>
      <c r="S922" s="2271" t="s">
        <v>676</v>
      </c>
      <c r="T922" s="2271" t="s">
        <v>676</v>
      </c>
      <c r="U922" s="2271" t="s">
        <v>676</v>
      </c>
    </row>
    <row r="923" spans="2:21" ht="90">
      <c r="B923" s="2316"/>
      <c r="C923" s="2268">
        <v>2</v>
      </c>
      <c r="D923" s="2882" t="s">
        <v>3027</v>
      </c>
      <c r="E923" s="2905"/>
      <c r="F923" s="2905"/>
      <c r="G923" s="2906"/>
      <c r="H923" s="2882" t="s">
        <v>3028</v>
      </c>
      <c r="I923" s="2906"/>
      <c r="J923" s="2882" t="s">
        <v>2762</v>
      </c>
      <c r="K923" s="2906"/>
      <c r="L923" s="2268" t="s">
        <v>2763</v>
      </c>
      <c r="M923" s="2268" t="s">
        <v>2764</v>
      </c>
      <c r="N923" s="2268" t="s">
        <v>2765</v>
      </c>
      <c r="O923" s="2269">
        <v>100000</v>
      </c>
      <c r="P923" s="2270" t="s">
        <v>2766</v>
      </c>
      <c r="Q923" s="2270">
        <v>100000</v>
      </c>
      <c r="R923" s="2268"/>
      <c r="S923" s="2268" t="s">
        <v>3029</v>
      </c>
      <c r="T923" s="2268" t="s">
        <v>2768</v>
      </c>
      <c r="U923" s="2268"/>
    </row>
    <row r="924" spans="2:21" ht="30">
      <c r="B924" s="2316"/>
      <c r="C924" s="2271" t="s">
        <v>676</v>
      </c>
      <c r="D924" s="2888" t="s">
        <v>676</v>
      </c>
      <c r="E924" s="2907"/>
      <c r="F924" s="2907"/>
      <c r="G924" s="2908"/>
      <c r="H924" s="2888" t="s">
        <v>676</v>
      </c>
      <c r="I924" s="2908"/>
      <c r="J924" s="2888" t="s">
        <v>676</v>
      </c>
      <c r="K924" s="2908"/>
      <c r="L924" s="2271" t="s">
        <v>676</v>
      </c>
      <c r="M924" s="2271" t="s">
        <v>676</v>
      </c>
      <c r="N924" s="2271" t="s">
        <v>676</v>
      </c>
      <c r="O924" s="2272" t="s">
        <v>676</v>
      </c>
      <c r="P924" s="2270" t="s">
        <v>2769</v>
      </c>
      <c r="Q924" s="2270">
        <v>0</v>
      </c>
      <c r="R924" s="2271" t="s">
        <v>676</v>
      </c>
      <c r="S924" s="2271" t="s">
        <v>676</v>
      </c>
      <c r="T924" s="2271" t="s">
        <v>676</v>
      </c>
      <c r="U924" s="2271" t="s">
        <v>676</v>
      </c>
    </row>
    <row r="925" spans="2:21" ht="30">
      <c r="B925" s="2316"/>
      <c r="C925" s="2271" t="s">
        <v>676</v>
      </c>
      <c r="D925" s="2891" t="s">
        <v>676</v>
      </c>
      <c r="E925" s="2907"/>
      <c r="F925" s="2907"/>
      <c r="G925" s="2908"/>
      <c r="H925" s="2892" t="s">
        <v>676</v>
      </c>
      <c r="I925" s="2907"/>
      <c r="J925" s="2888" t="s">
        <v>676</v>
      </c>
      <c r="K925" s="2908"/>
      <c r="L925" s="2271" t="s">
        <v>676</v>
      </c>
      <c r="M925" s="2271" t="s">
        <v>676</v>
      </c>
      <c r="N925" s="2271" t="s">
        <v>676</v>
      </c>
      <c r="O925" s="2272" t="s">
        <v>676</v>
      </c>
      <c r="P925" s="2270" t="s">
        <v>2770</v>
      </c>
      <c r="Q925" s="2270">
        <v>0</v>
      </c>
      <c r="R925" s="2271" t="s">
        <v>676</v>
      </c>
      <c r="S925" s="2271" t="s">
        <v>676</v>
      </c>
      <c r="T925" s="2271" t="s">
        <v>676</v>
      </c>
      <c r="U925" s="2271" t="s">
        <v>676</v>
      </c>
    </row>
    <row r="926" spans="2:21" ht="90">
      <c r="B926" s="2316"/>
      <c r="C926" s="2268">
        <v>3</v>
      </c>
      <c r="D926" s="2882" t="s">
        <v>3030</v>
      </c>
      <c r="E926" s="2905"/>
      <c r="F926" s="2905"/>
      <c r="G926" s="2906"/>
      <c r="H926" s="2882" t="s">
        <v>727</v>
      </c>
      <c r="I926" s="2906"/>
      <c r="J926" s="2882" t="s">
        <v>2762</v>
      </c>
      <c r="K926" s="2906"/>
      <c r="L926" s="2268" t="s">
        <v>2763</v>
      </c>
      <c r="M926" s="2268" t="s">
        <v>2764</v>
      </c>
      <c r="N926" s="2268" t="s">
        <v>2765</v>
      </c>
      <c r="O926" s="2269">
        <v>41666</v>
      </c>
      <c r="P926" s="2270" t="s">
        <v>2766</v>
      </c>
      <c r="Q926" s="2270">
        <v>41666</v>
      </c>
      <c r="R926" s="2268"/>
      <c r="S926" s="2268" t="s">
        <v>2932</v>
      </c>
      <c r="T926" s="2268" t="s">
        <v>2768</v>
      </c>
      <c r="U926" s="2268"/>
    </row>
    <row r="927" spans="2:21" ht="30">
      <c r="B927" s="2316"/>
      <c r="C927" s="2271" t="s">
        <v>676</v>
      </c>
      <c r="D927" s="2888" t="s">
        <v>676</v>
      </c>
      <c r="E927" s="2907"/>
      <c r="F927" s="2907"/>
      <c r="G927" s="2908"/>
      <c r="H927" s="2888" t="s">
        <v>676</v>
      </c>
      <c r="I927" s="2908"/>
      <c r="J927" s="2888" t="s">
        <v>676</v>
      </c>
      <c r="K927" s="2908"/>
      <c r="L927" s="2271" t="s">
        <v>676</v>
      </c>
      <c r="M927" s="2271" t="s">
        <v>676</v>
      </c>
      <c r="N927" s="2271" t="s">
        <v>676</v>
      </c>
      <c r="O927" s="2272" t="s">
        <v>676</v>
      </c>
      <c r="P927" s="2270" t="s">
        <v>2769</v>
      </c>
      <c r="Q927" s="2270">
        <v>0</v>
      </c>
      <c r="R927" s="2271" t="s">
        <v>676</v>
      </c>
      <c r="S927" s="2271" t="s">
        <v>676</v>
      </c>
      <c r="T927" s="2271" t="s">
        <v>676</v>
      </c>
      <c r="U927" s="2271" t="s">
        <v>676</v>
      </c>
    </row>
    <row r="928" spans="2:21" ht="30">
      <c r="B928" s="2316"/>
      <c r="C928" s="2271" t="s">
        <v>676</v>
      </c>
      <c r="D928" s="2891" t="s">
        <v>676</v>
      </c>
      <c r="E928" s="2907"/>
      <c r="F928" s="2907"/>
      <c r="G928" s="2908"/>
      <c r="H928" s="2892" t="s">
        <v>676</v>
      </c>
      <c r="I928" s="2907"/>
      <c r="J928" s="2888" t="s">
        <v>676</v>
      </c>
      <c r="K928" s="2908"/>
      <c r="L928" s="2271" t="s">
        <v>676</v>
      </c>
      <c r="M928" s="2271" t="s">
        <v>676</v>
      </c>
      <c r="N928" s="2271" t="s">
        <v>676</v>
      </c>
      <c r="O928" s="2272" t="s">
        <v>676</v>
      </c>
      <c r="P928" s="2270" t="s">
        <v>2770</v>
      </c>
      <c r="Q928" s="2270">
        <v>0</v>
      </c>
      <c r="R928" s="2271" t="s">
        <v>676</v>
      </c>
      <c r="S928" s="2271" t="s">
        <v>676</v>
      </c>
      <c r="T928" s="2271" t="s">
        <v>676</v>
      </c>
      <c r="U928" s="2271" t="s">
        <v>676</v>
      </c>
    </row>
    <row r="929" spans="2:21" ht="90">
      <c r="B929" s="2316"/>
      <c r="C929" s="2268">
        <v>4</v>
      </c>
      <c r="D929" s="2882" t="s">
        <v>174</v>
      </c>
      <c r="E929" s="2905"/>
      <c r="F929" s="2905"/>
      <c r="G929" s="2906"/>
      <c r="H929" s="2882" t="s">
        <v>1098</v>
      </c>
      <c r="I929" s="2906"/>
      <c r="J929" s="2882" t="s">
        <v>2762</v>
      </c>
      <c r="K929" s="2906"/>
      <c r="L929" s="2268" t="s">
        <v>2763</v>
      </c>
      <c r="M929" s="2268" t="s">
        <v>2775</v>
      </c>
      <c r="N929" s="2268" t="s">
        <v>2765</v>
      </c>
      <c r="O929" s="2269">
        <v>100000</v>
      </c>
      <c r="P929" s="2270" t="s">
        <v>2766</v>
      </c>
      <c r="Q929" s="2270">
        <v>100000</v>
      </c>
      <c r="R929" s="2268"/>
      <c r="S929" s="2268" t="s">
        <v>2932</v>
      </c>
      <c r="T929" s="2268" t="s">
        <v>2768</v>
      </c>
      <c r="U929" s="2268"/>
    </row>
    <row r="930" spans="2:21" ht="30">
      <c r="B930" s="2316"/>
      <c r="C930" s="2271" t="s">
        <v>676</v>
      </c>
      <c r="D930" s="2888" t="s">
        <v>676</v>
      </c>
      <c r="E930" s="2907"/>
      <c r="F930" s="2907"/>
      <c r="G930" s="2908"/>
      <c r="H930" s="2888" t="s">
        <v>676</v>
      </c>
      <c r="I930" s="2908"/>
      <c r="J930" s="2888" t="s">
        <v>676</v>
      </c>
      <c r="K930" s="2908"/>
      <c r="L930" s="2271" t="s">
        <v>676</v>
      </c>
      <c r="M930" s="2271" t="s">
        <v>676</v>
      </c>
      <c r="N930" s="2271" t="s">
        <v>676</v>
      </c>
      <c r="O930" s="2272" t="s">
        <v>676</v>
      </c>
      <c r="P930" s="2270" t="s">
        <v>2769</v>
      </c>
      <c r="Q930" s="2270">
        <v>0</v>
      </c>
      <c r="R930" s="2271" t="s">
        <v>676</v>
      </c>
      <c r="S930" s="2271" t="s">
        <v>676</v>
      </c>
      <c r="T930" s="2271" t="s">
        <v>676</v>
      </c>
      <c r="U930" s="2271" t="s">
        <v>676</v>
      </c>
    </row>
    <row r="931" spans="2:21" ht="30">
      <c r="B931" s="2316"/>
      <c r="C931" s="2271" t="s">
        <v>676</v>
      </c>
      <c r="D931" s="2891" t="s">
        <v>676</v>
      </c>
      <c r="E931" s="2907"/>
      <c r="F931" s="2907"/>
      <c r="G931" s="2908"/>
      <c r="H931" s="2892" t="s">
        <v>676</v>
      </c>
      <c r="I931" s="2907"/>
      <c r="J931" s="2888" t="s">
        <v>676</v>
      </c>
      <c r="K931" s="2908"/>
      <c r="L931" s="2271" t="s">
        <v>676</v>
      </c>
      <c r="M931" s="2271" t="s">
        <v>676</v>
      </c>
      <c r="N931" s="2271" t="s">
        <v>676</v>
      </c>
      <c r="O931" s="2272" t="s">
        <v>676</v>
      </c>
      <c r="P931" s="2270" t="s">
        <v>2770</v>
      </c>
      <c r="Q931" s="2270">
        <v>0</v>
      </c>
      <c r="R931" s="2271" t="s">
        <v>676</v>
      </c>
      <c r="S931" s="2271" t="s">
        <v>676</v>
      </c>
      <c r="T931" s="2271" t="s">
        <v>676</v>
      </c>
      <c r="U931" s="2271" t="s">
        <v>676</v>
      </c>
    </row>
    <row r="932" spans="2:21" ht="120">
      <c r="B932" s="2316"/>
      <c r="C932" s="2268">
        <v>5</v>
      </c>
      <c r="D932" s="2882" t="s">
        <v>680</v>
      </c>
      <c r="E932" s="2905"/>
      <c r="F932" s="2905"/>
      <c r="G932" s="2906"/>
      <c r="H932" s="2882" t="s">
        <v>3031</v>
      </c>
      <c r="I932" s="2906"/>
      <c r="J932" s="2882" t="s">
        <v>2762</v>
      </c>
      <c r="K932" s="2906"/>
      <c r="L932" s="2268" t="s">
        <v>2802</v>
      </c>
      <c r="M932" s="2268" t="s">
        <v>2775</v>
      </c>
      <c r="N932" s="2268" t="s">
        <v>2776</v>
      </c>
      <c r="O932" s="2269">
        <v>5166666</v>
      </c>
      <c r="P932" s="2270" t="s">
        <v>2766</v>
      </c>
      <c r="Q932" s="2270">
        <v>5166666</v>
      </c>
      <c r="R932" s="2268" t="s">
        <v>892</v>
      </c>
      <c r="S932" s="2268" t="s">
        <v>2932</v>
      </c>
      <c r="T932" s="2268" t="s">
        <v>2768</v>
      </c>
      <c r="U932" s="2268"/>
    </row>
    <row r="933" spans="2:21" ht="30">
      <c r="B933" s="2316"/>
      <c r="C933" s="2271" t="s">
        <v>676</v>
      </c>
      <c r="D933" s="2888" t="s">
        <v>676</v>
      </c>
      <c r="E933" s="2907"/>
      <c r="F933" s="2907"/>
      <c r="G933" s="2908"/>
      <c r="H933" s="2888" t="s">
        <v>676</v>
      </c>
      <c r="I933" s="2908"/>
      <c r="J933" s="2888" t="s">
        <v>676</v>
      </c>
      <c r="K933" s="2908"/>
      <c r="L933" s="2271" t="s">
        <v>676</v>
      </c>
      <c r="M933" s="2271" t="s">
        <v>676</v>
      </c>
      <c r="N933" s="2271" t="s">
        <v>676</v>
      </c>
      <c r="O933" s="2272" t="s">
        <v>676</v>
      </c>
      <c r="P933" s="2270" t="s">
        <v>2769</v>
      </c>
      <c r="Q933" s="2270">
        <v>0</v>
      </c>
      <c r="R933" s="2271" t="s">
        <v>676</v>
      </c>
      <c r="S933" s="2271" t="s">
        <v>676</v>
      </c>
      <c r="T933" s="2271" t="s">
        <v>676</v>
      </c>
      <c r="U933" s="2271" t="s">
        <v>676</v>
      </c>
    </row>
    <row r="934" spans="2:21" ht="30">
      <c r="B934" s="2316"/>
      <c r="C934" s="2271" t="s">
        <v>676</v>
      </c>
      <c r="D934" s="2891" t="s">
        <v>676</v>
      </c>
      <c r="E934" s="2907"/>
      <c r="F934" s="2907"/>
      <c r="G934" s="2908"/>
      <c r="H934" s="2892" t="s">
        <v>676</v>
      </c>
      <c r="I934" s="2907"/>
      <c r="J934" s="2888" t="s">
        <v>676</v>
      </c>
      <c r="K934" s="2908"/>
      <c r="L934" s="2271" t="s">
        <v>676</v>
      </c>
      <c r="M934" s="2271" t="s">
        <v>676</v>
      </c>
      <c r="N934" s="2271" t="s">
        <v>676</v>
      </c>
      <c r="O934" s="2272" t="s">
        <v>676</v>
      </c>
      <c r="P934" s="2270" t="s">
        <v>2770</v>
      </c>
      <c r="Q934" s="2270">
        <v>0</v>
      </c>
      <c r="R934" s="2271" t="s">
        <v>676</v>
      </c>
      <c r="S934" s="2271" t="s">
        <v>676</v>
      </c>
      <c r="T934" s="2271" t="s">
        <v>676</v>
      </c>
      <c r="U934" s="2271" t="s">
        <v>676</v>
      </c>
    </row>
    <row r="935" spans="2:21" ht="90">
      <c r="B935" s="2316"/>
      <c r="C935" s="2268">
        <v>6</v>
      </c>
      <c r="D935" s="2882" t="s">
        <v>3032</v>
      </c>
      <c r="E935" s="2905"/>
      <c r="F935" s="2905"/>
      <c r="G935" s="2906"/>
      <c r="H935" s="2882" t="s">
        <v>3033</v>
      </c>
      <c r="I935" s="2906"/>
      <c r="J935" s="2882" t="s">
        <v>2762</v>
      </c>
      <c r="K935" s="2906"/>
      <c r="L935" s="2268" t="s">
        <v>2763</v>
      </c>
      <c r="M935" s="2268" t="s">
        <v>2775</v>
      </c>
      <c r="N935" s="2268" t="s">
        <v>2765</v>
      </c>
      <c r="O935" s="2269">
        <v>50000</v>
      </c>
      <c r="P935" s="2270" t="s">
        <v>2766</v>
      </c>
      <c r="Q935" s="2270">
        <v>50000</v>
      </c>
      <c r="R935" s="2268"/>
      <c r="S935" s="2268" t="s">
        <v>3029</v>
      </c>
      <c r="T935" s="2268" t="s">
        <v>2768</v>
      </c>
      <c r="U935" s="2268"/>
    </row>
    <row r="936" spans="2:21" ht="30">
      <c r="B936" s="2316"/>
      <c r="C936" s="2271" t="s">
        <v>676</v>
      </c>
      <c r="D936" s="2888" t="s">
        <v>676</v>
      </c>
      <c r="E936" s="2907"/>
      <c r="F936" s="2907"/>
      <c r="G936" s="2908"/>
      <c r="H936" s="2888" t="s">
        <v>676</v>
      </c>
      <c r="I936" s="2908"/>
      <c r="J936" s="2888" t="s">
        <v>676</v>
      </c>
      <c r="K936" s="2908"/>
      <c r="L936" s="2271" t="s">
        <v>676</v>
      </c>
      <c r="M936" s="2271" t="s">
        <v>676</v>
      </c>
      <c r="N936" s="2271" t="s">
        <v>676</v>
      </c>
      <c r="O936" s="2272" t="s">
        <v>676</v>
      </c>
      <c r="P936" s="2270" t="s">
        <v>2769</v>
      </c>
      <c r="Q936" s="2270">
        <v>0</v>
      </c>
      <c r="R936" s="2271" t="s">
        <v>676</v>
      </c>
      <c r="S936" s="2271" t="s">
        <v>676</v>
      </c>
      <c r="T936" s="2271" t="s">
        <v>676</v>
      </c>
      <c r="U936" s="2271" t="s">
        <v>676</v>
      </c>
    </row>
    <row r="937" spans="2:21" ht="30">
      <c r="B937" s="2316"/>
      <c r="C937" s="2271" t="s">
        <v>676</v>
      </c>
      <c r="D937" s="2891" t="s">
        <v>676</v>
      </c>
      <c r="E937" s="2907"/>
      <c r="F937" s="2907"/>
      <c r="G937" s="2908"/>
      <c r="H937" s="2892" t="s">
        <v>676</v>
      </c>
      <c r="I937" s="2907"/>
      <c r="J937" s="2888" t="s">
        <v>676</v>
      </c>
      <c r="K937" s="2908"/>
      <c r="L937" s="2271" t="s">
        <v>676</v>
      </c>
      <c r="M937" s="2271" t="s">
        <v>676</v>
      </c>
      <c r="N937" s="2271" t="s">
        <v>676</v>
      </c>
      <c r="O937" s="2272" t="s">
        <v>676</v>
      </c>
      <c r="P937" s="2270" t="s">
        <v>2770</v>
      </c>
      <c r="Q937" s="2270">
        <v>0</v>
      </c>
      <c r="R937" s="2271" t="s">
        <v>676</v>
      </c>
      <c r="S937" s="2271" t="s">
        <v>676</v>
      </c>
      <c r="T937" s="2271" t="s">
        <v>676</v>
      </c>
      <c r="U937" s="2271" t="s">
        <v>676</v>
      </c>
    </row>
    <row r="938" spans="2:21" ht="90">
      <c r="B938" s="2316"/>
      <c r="C938" s="2268">
        <v>7</v>
      </c>
      <c r="D938" s="2882" t="s">
        <v>3034</v>
      </c>
      <c r="E938" s="2905"/>
      <c r="F938" s="2905"/>
      <c r="G938" s="2906"/>
      <c r="H938" s="2882" t="s">
        <v>3035</v>
      </c>
      <c r="I938" s="2906"/>
      <c r="J938" s="2882" t="s">
        <v>2762</v>
      </c>
      <c r="K938" s="2906"/>
      <c r="L938" s="2268" t="s">
        <v>2763</v>
      </c>
      <c r="M938" s="2268" t="s">
        <v>2775</v>
      </c>
      <c r="N938" s="2268" t="s">
        <v>2765</v>
      </c>
      <c r="O938" s="2269">
        <v>100000</v>
      </c>
      <c r="P938" s="2270" t="s">
        <v>2766</v>
      </c>
      <c r="Q938" s="2270">
        <v>100000</v>
      </c>
      <c r="R938" s="2268"/>
      <c r="S938" s="2268" t="s">
        <v>2932</v>
      </c>
      <c r="T938" s="2268" t="s">
        <v>2768</v>
      </c>
      <c r="U938" s="2268"/>
    </row>
    <row r="939" spans="2:21" ht="30">
      <c r="B939" s="2316"/>
      <c r="C939" s="2271" t="s">
        <v>676</v>
      </c>
      <c r="D939" s="2888" t="s">
        <v>676</v>
      </c>
      <c r="E939" s="2907"/>
      <c r="F939" s="2907"/>
      <c r="G939" s="2908"/>
      <c r="H939" s="2888" t="s">
        <v>676</v>
      </c>
      <c r="I939" s="2908"/>
      <c r="J939" s="2888" t="s">
        <v>676</v>
      </c>
      <c r="K939" s="2908"/>
      <c r="L939" s="2271" t="s">
        <v>676</v>
      </c>
      <c r="M939" s="2271" t="s">
        <v>676</v>
      </c>
      <c r="N939" s="2271" t="s">
        <v>676</v>
      </c>
      <c r="O939" s="2272" t="s">
        <v>676</v>
      </c>
      <c r="P939" s="2270" t="s">
        <v>2769</v>
      </c>
      <c r="Q939" s="2270">
        <v>0</v>
      </c>
      <c r="R939" s="2271" t="s">
        <v>676</v>
      </c>
      <c r="S939" s="2271" t="s">
        <v>676</v>
      </c>
      <c r="T939" s="2271" t="s">
        <v>676</v>
      </c>
      <c r="U939" s="2271" t="s">
        <v>676</v>
      </c>
    </row>
    <row r="940" spans="2:21" ht="30">
      <c r="B940" s="2316"/>
      <c r="C940" s="2271" t="s">
        <v>676</v>
      </c>
      <c r="D940" s="2891" t="s">
        <v>676</v>
      </c>
      <c r="E940" s="2907"/>
      <c r="F940" s="2907"/>
      <c r="G940" s="2908"/>
      <c r="H940" s="2892" t="s">
        <v>676</v>
      </c>
      <c r="I940" s="2907"/>
      <c r="J940" s="2888" t="s">
        <v>676</v>
      </c>
      <c r="K940" s="2908"/>
      <c r="L940" s="2271" t="s">
        <v>676</v>
      </c>
      <c r="M940" s="2271" t="s">
        <v>676</v>
      </c>
      <c r="N940" s="2271" t="s">
        <v>676</v>
      </c>
      <c r="O940" s="2272" t="s">
        <v>676</v>
      </c>
      <c r="P940" s="2270" t="s">
        <v>2770</v>
      </c>
      <c r="Q940" s="2270">
        <v>0</v>
      </c>
      <c r="R940" s="2271" t="s">
        <v>676</v>
      </c>
      <c r="S940" s="2271" t="s">
        <v>676</v>
      </c>
      <c r="T940" s="2271" t="s">
        <v>676</v>
      </c>
      <c r="U940" s="2271" t="s">
        <v>676</v>
      </c>
    </row>
    <row r="941" spans="2:21" ht="60">
      <c r="B941" s="2316"/>
      <c r="C941" s="2268">
        <v>8</v>
      </c>
      <c r="D941" s="2882" t="s">
        <v>2782</v>
      </c>
      <c r="E941" s="2905"/>
      <c r="F941" s="2905"/>
      <c r="G941" s="2906"/>
      <c r="H941" s="2882" t="s">
        <v>1106</v>
      </c>
      <c r="I941" s="2906"/>
      <c r="J941" s="2882" t="s">
        <v>2762</v>
      </c>
      <c r="K941" s="2906"/>
      <c r="L941" s="2268" t="s">
        <v>2763</v>
      </c>
      <c r="M941" s="2268" t="s">
        <v>2775</v>
      </c>
      <c r="N941" s="2268" t="s">
        <v>2776</v>
      </c>
      <c r="O941" s="2269">
        <v>125000</v>
      </c>
      <c r="P941" s="2270" t="s">
        <v>2766</v>
      </c>
      <c r="Q941" s="2270">
        <v>125000</v>
      </c>
      <c r="R941" s="2268" t="s">
        <v>688</v>
      </c>
      <c r="S941" s="2268" t="s">
        <v>2799</v>
      </c>
      <c r="T941" s="2268" t="s">
        <v>2768</v>
      </c>
      <c r="U941" s="2268"/>
    </row>
    <row r="942" spans="2:21" ht="30">
      <c r="B942" s="2316"/>
      <c r="C942" s="2271" t="s">
        <v>676</v>
      </c>
      <c r="D942" s="2888" t="s">
        <v>676</v>
      </c>
      <c r="E942" s="2907"/>
      <c r="F942" s="2907"/>
      <c r="G942" s="2908"/>
      <c r="H942" s="2888" t="s">
        <v>676</v>
      </c>
      <c r="I942" s="2908"/>
      <c r="J942" s="2888" t="s">
        <v>676</v>
      </c>
      <c r="K942" s="2908"/>
      <c r="L942" s="2271" t="s">
        <v>676</v>
      </c>
      <c r="M942" s="2271" t="s">
        <v>676</v>
      </c>
      <c r="N942" s="2271" t="s">
        <v>676</v>
      </c>
      <c r="O942" s="2272" t="s">
        <v>676</v>
      </c>
      <c r="P942" s="2270" t="s">
        <v>2769</v>
      </c>
      <c r="Q942" s="2270">
        <v>0</v>
      </c>
      <c r="R942" s="2271" t="s">
        <v>676</v>
      </c>
      <c r="S942" s="2271" t="s">
        <v>676</v>
      </c>
      <c r="T942" s="2271" t="s">
        <v>676</v>
      </c>
      <c r="U942" s="2271" t="s">
        <v>676</v>
      </c>
    </row>
    <row r="943" spans="2:21" ht="30">
      <c r="B943" s="2316"/>
      <c r="C943" s="2271" t="s">
        <v>676</v>
      </c>
      <c r="D943" s="2891" t="s">
        <v>676</v>
      </c>
      <c r="E943" s="2907"/>
      <c r="F943" s="2907"/>
      <c r="G943" s="2908"/>
      <c r="H943" s="2892" t="s">
        <v>676</v>
      </c>
      <c r="I943" s="2907"/>
      <c r="J943" s="2888" t="s">
        <v>676</v>
      </c>
      <c r="K943" s="2908"/>
      <c r="L943" s="2271" t="s">
        <v>676</v>
      </c>
      <c r="M943" s="2271" t="s">
        <v>676</v>
      </c>
      <c r="N943" s="2271" t="s">
        <v>676</v>
      </c>
      <c r="O943" s="2272" t="s">
        <v>676</v>
      </c>
      <c r="P943" s="2270" t="s">
        <v>2770</v>
      </c>
      <c r="Q943" s="2270">
        <v>0</v>
      </c>
      <c r="R943" s="2271" t="s">
        <v>676</v>
      </c>
      <c r="S943" s="2271" t="s">
        <v>676</v>
      </c>
      <c r="T943" s="2271" t="s">
        <v>676</v>
      </c>
      <c r="U943" s="2271" t="s">
        <v>676</v>
      </c>
    </row>
    <row r="944" spans="2:21" ht="90">
      <c r="B944" s="2316"/>
      <c r="C944" s="2268">
        <v>9</v>
      </c>
      <c r="D944" s="2882" t="s">
        <v>3036</v>
      </c>
      <c r="E944" s="2905"/>
      <c r="F944" s="2905"/>
      <c r="G944" s="2906"/>
      <c r="H944" s="2882" t="s">
        <v>3037</v>
      </c>
      <c r="I944" s="2906"/>
      <c r="J944" s="2882" t="s">
        <v>2762</v>
      </c>
      <c r="K944" s="2906"/>
      <c r="L944" s="2268" t="s">
        <v>2763</v>
      </c>
      <c r="M944" s="2268" t="s">
        <v>2764</v>
      </c>
      <c r="N944" s="2268" t="s">
        <v>2765</v>
      </c>
      <c r="O944" s="2269">
        <v>100000</v>
      </c>
      <c r="P944" s="2270" t="s">
        <v>2766</v>
      </c>
      <c r="Q944" s="2270">
        <v>100000</v>
      </c>
      <c r="R944" s="2268"/>
      <c r="S944" s="2268" t="s">
        <v>3026</v>
      </c>
      <c r="T944" s="2268" t="s">
        <v>2768</v>
      </c>
      <c r="U944" s="2268"/>
    </row>
    <row r="945" spans="2:21" ht="30">
      <c r="B945" s="2316"/>
      <c r="C945" s="2271" t="s">
        <v>676</v>
      </c>
      <c r="D945" s="2888" t="s">
        <v>676</v>
      </c>
      <c r="E945" s="2907"/>
      <c r="F945" s="2907"/>
      <c r="G945" s="2908"/>
      <c r="H945" s="2888" t="s">
        <v>676</v>
      </c>
      <c r="I945" s="2908"/>
      <c r="J945" s="2888" t="s">
        <v>676</v>
      </c>
      <c r="K945" s="2908"/>
      <c r="L945" s="2271" t="s">
        <v>676</v>
      </c>
      <c r="M945" s="2271" t="s">
        <v>676</v>
      </c>
      <c r="N945" s="2271" t="s">
        <v>676</v>
      </c>
      <c r="O945" s="2272" t="s">
        <v>676</v>
      </c>
      <c r="P945" s="2270" t="s">
        <v>2769</v>
      </c>
      <c r="Q945" s="2270">
        <v>0</v>
      </c>
      <c r="R945" s="2271" t="s">
        <v>676</v>
      </c>
      <c r="S945" s="2271" t="s">
        <v>676</v>
      </c>
      <c r="T945" s="2271" t="s">
        <v>676</v>
      </c>
      <c r="U945" s="2271" t="s">
        <v>676</v>
      </c>
    </row>
    <row r="946" spans="2:21" ht="30">
      <c r="B946" s="2316"/>
      <c r="C946" s="2271" t="s">
        <v>676</v>
      </c>
      <c r="D946" s="2891" t="s">
        <v>676</v>
      </c>
      <c r="E946" s="2907"/>
      <c r="F946" s="2907"/>
      <c r="G946" s="2908"/>
      <c r="H946" s="2892" t="s">
        <v>676</v>
      </c>
      <c r="I946" s="2907"/>
      <c r="J946" s="2888" t="s">
        <v>676</v>
      </c>
      <c r="K946" s="2908"/>
      <c r="L946" s="2271" t="s">
        <v>676</v>
      </c>
      <c r="M946" s="2271" t="s">
        <v>676</v>
      </c>
      <c r="N946" s="2271" t="s">
        <v>676</v>
      </c>
      <c r="O946" s="2272" t="s">
        <v>676</v>
      </c>
      <c r="P946" s="2270" t="s">
        <v>2770</v>
      </c>
      <c r="Q946" s="2270">
        <v>0</v>
      </c>
      <c r="R946" s="2271" t="s">
        <v>676</v>
      </c>
      <c r="S946" s="2271" t="s">
        <v>676</v>
      </c>
      <c r="T946" s="2271" t="s">
        <v>676</v>
      </c>
      <c r="U946" s="2271" t="s">
        <v>676</v>
      </c>
    </row>
    <row r="947" spans="2:21" ht="90">
      <c r="B947" s="2316"/>
      <c r="C947" s="2268">
        <v>10</v>
      </c>
      <c r="D947" s="2882" t="s">
        <v>3038</v>
      </c>
      <c r="E947" s="2905"/>
      <c r="F947" s="2905"/>
      <c r="G947" s="2906"/>
      <c r="H947" s="2882" t="s">
        <v>1633</v>
      </c>
      <c r="I947" s="2906"/>
      <c r="J947" s="2882" t="s">
        <v>2762</v>
      </c>
      <c r="K947" s="2906"/>
      <c r="L947" s="2268" t="s">
        <v>2763</v>
      </c>
      <c r="M947" s="2268" t="s">
        <v>2764</v>
      </c>
      <c r="N947" s="2268" t="s">
        <v>2765</v>
      </c>
      <c r="O947" s="2269">
        <v>66666</v>
      </c>
      <c r="P947" s="2270" t="s">
        <v>2766</v>
      </c>
      <c r="Q947" s="2270">
        <v>66666</v>
      </c>
      <c r="R947" s="2268"/>
      <c r="S947" s="2268" t="s">
        <v>3029</v>
      </c>
      <c r="T947" s="2268" t="s">
        <v>2768</v>
      </c>
      <c r="U947" s="2268"/>
    </row>
    <row r="948" spans="2:21" ht="30">
      <c r="B948" s="2316"/>
      <c r="C948" s="2271" t="s">
        <v>676</v>
      </c>
      <c r="D948" s="2888" t="s">
        <v>676</v>
      </c>
      <c r="E948" s="2907"/>
      <c r="F948" s="2907"/>
      <c r="G948" s="2908"/>
      <c r="H948" s="2888" t="s">
        <v>676</v>
      </c>
      <c r="I948" s="2908"/>
      <c r="J948" s="2888" t="s">
        <v>676</v>
      </c>
      <c r="K948" s="2908"/>
      <c r="L948" s="2271" t="s">
        <v>676</v>
      </c>
      <c r="M948" s="2271" t="s">
        <v>676</v>
      </c>
      <c r="N948" s="2271" t="s">
        <v>676</v>
      </c>
      <c r="O948" s="2272" t="s">
        <v>676</v>
      </c>
      <c r="P948" s="2270" t="s">
        <v>2769</v>
      </c>
      <c r="Q948" s="2270">
        <v>0</v>
      </c>
      <c r="R948" s="2271" t="s">
        <v>676</v>
      </c>
      <c r="S948" s="2271" t="s">
        <v>676</v>
      </c>
      <c r="T948" s="2271" t="s">
        <v>676</v>
      </c>
      <c r="U948" s="2271" t="s">
        <v>676</v>
      </c>
    </row>
    <row r="949" spans="2:21" ht="30">
      <c r="B949" s="2316"/>
      <c r="C949" s="2271" t="s">
        <v>676</v>
      </c>
      <c r="D949" s="2891" t="s">
        <v>676</v>
      </c>
      <c r="E949" s="2907"/>
      <c r="F949" s="2907"/>
      <c r="G949" s="2908"/>
      <c r="H949" s="2892" t="s">
        <v>676</v>
      </c>
      <c r="I949" s="2907"/>
      <c r="J949" s="2888" t="s">
        <v>676</v>
      </c>
      <c r="K949" s="2908"/>
      <c r="L949" s="2271" t="s">
        <v>676</v>
      </c>
      <c r="M949" s="2271" t="s">
        <v>676</v>
      </c>
      <c r="N949" s="2271" t="s">
        <v>676</v>
      </c>
      <c r="O949" s="2272" t="s">
        <v>676</v>
      </c>
      <c r="P949" s="2270" t="s">
        <v>2770</v>
      </c>
      <c r="Q949" s="2270">
        <v>0</v>
      </c>
      <c r="R949" s="2271" t="s">
        <v>676</v>
      </c>
      <c r="S949" s="2271" t="s">
        <v>676</v>
      </c>
      <c r="T949" s="2271" t="s">
        <v>676</v>
      </c>
      <c r="U949" s="2271" t="s">
        <v>676</v>
      </c>
    </row>
    <row r="950" spans="2:21" ht="90">
      <c r="B950" s="2316"/>
      <c r="C950" s="2268">
        <v>11</v>
      </c>
      <c r="D950" s="2882" t="s">
        <v>3039</v>
      </c>
      <c r="E950" s="2905"/>
      <c r="F950" s="2905"/>
      <c r="G950" s="2906"/>
      <c r="H950" s="2882" t="s">
        <v>1260</v>
      </c>
      <c r="I950" s="2906"/>
      <c r="J950" s="2882" t="s">
        <v>2762</v>
      </c>
      <c r="K950" s="2906"/>
      <c r="L950" s="2268" t="s">
        <v>2763</v>
      </c>
      <c r="M950" s="2268" t="s">
        <v>2764</v>
      </c>
      <c r="N950" s="2268" t="s">
        <v>2765</v>
      </c>
      <c r="O950" s="2269">
        <v>83333</v>
      </c>
      <c r="P950" s="2270" t="s">
        <v>2766</v>
      </c>
      <c r="Q950" s="2270">
        <v>83333</v>
      </c>
      <c r="R950" s="2268"/>
      <c r="S950" s="2268" t="s">
        <v>2919</v>
      </c>
      <c r="T950" s="2268" t="s">
        <v>2768</v>
      </c>
      <c r="U950" s="2268"/>
    </row>
    <row r="951" spans="2:21" ht="30">
      <c r="B951" s="2316"/>
      <c r="C951" s="2271" t="s">
        <v>676</v>
      </c>
      <c r="D951" s="2888" t="s">
        <v>676</v>
      </c>
      <c r="E951" s="2907"/>
      <c r="F951" s="2907"/>
      <c r="G951" s="2908"/>
      <c r="H951" s="2888" t="s">
        <v>676</v>
      </c>
      <c r="I951" s="2908"/>
      <c r="J951" s="2888" t="s">
        <v>676</v>
      </c>
      <c r="K951" s="2908"/>
      <c r="L951" s="2271" t="s">
        <v>676</v>
      </c>
      <c r="M951" s="2271" t="s">
        <v>676</v>
      </c>
      <c r="N951" s="2271" t="s">
        <v>676</v>
      </c>
      <c r="O951" s="2272" t="s">
        <v>676</v>
      </c>
      <c r="P951" s="2270" t="s">
        <v>2769</v>
      </c>
      <c r="Q951" s="2270">
        <v>0</v>
      </c>
      <c r="R951" s="2271" t="s">
        <v>676</v>
      </c>
      <c r="S951" s="2271" t="s">
        <v>676</v>
      </c>
      <c r="T951" s="2271" t="s">
        <v>676</v>
      </c>
      <c r="U951" s="2271" t="s">
        <v>676</v>
      </c>
    </row>
    <row r="952" spans="2:21" ht="30">
      <c r="B952" s="2316"/>
      <c r="C952" s="2271" t="s">
        <v>676</v>
      </c>
      <c r="D952" s="2891" t="s">
        <v>676</v>
      </c>
      <c r="E952" s="2907"/>
      <c r="F952" s="2907"/>
      <c r="G952" s="2908"/>
      <c r="H952" s="2892" t="s">
        <v>676</v>
      </c>
      <c r="I952" s="2907"/>
      <c r="J952" s="2888" t="s">
        <v>676</v>
      </c>
      <c r="K952" s="2908"/>
      <c r="L952" s="2271" t="s">
        <v>676</v>
      </c>
      <c r="M952" s="2271" t="s">
        <v>676</v>
      </c>
      <c r="N952" s="2271" t="s">
        <v>676</v>
      </c>
      <c r="O952" s="2272" t="s">
        <v>676</v>
      </c>
      <c r="P952" s="2270" t="s">
        <v>2770</v>
      </c>
      <c r="Q952" s="2270">
        <v>0</v>
      </c>
      <c r="R952" s="2271" t="s">
        <v>676</v>
      </c>
      <c r="S952" s="2271" t="s">
        <v>676</v>
      </c>
      <c r="T952" s="2271" t="s">
        <v>676</v>
      </c>
      <c r="U952" s="2271" t="s">
        <v>676</v>
      </c>
    </row>
    <row r="953" spans="2:21" ht="90">
      <c r="B953" s="2316"/>
      <c r="C953" s="2268">
        <v>12</v>
      </c>
      <c r="D953" s="2882" t="s">
        <v>3040</v>
      </c>
      <c r="E953" s="2905"/>
      <c r="F953" s="2905"/>
      <c r="G953" s="2906"/>
      <c r="H953" s="2882" t="s">
        <v>3041</v>
      </c>
      <c r="I953" s="2906"/>
      <c r="J953" s="2882" t="s">
        <v>2762</v>
      </c>
      <c r="K953" s="2906"/>
      <c r="L953" s="2268" t="s">
        <v>2763</v>
      </c>
      <c r="M953" s="2268" t="s">
        <v>2775</v>
      </c>
      <c r="N953" s="2268" t="s">
        <v>2765</v>
      </c>
      <c r="O953" s="2269">
        <v>41666</v>
      </c>
      <c r="P953" s="2270" t="s">
        <v>2766</v>
      </c>
      <c r="Q953" s="2270">
        <v>41666</v>
      </c>
      <c r="R953" s="2268"/>
      <c r="S953" s="2268" t="s">
        <v>2777</v>
      </c>
      <c r="T953" s="2268" t="s">
        <v>2768</v>
      </c>
      <c r="U953" s="2268"/>
    </row>
    <row r="954" spans="2:21" ht="30">
      <c r="B954" s="2316"/>
      <c r="C954" s="2271" t="s">
        <v>676</v>
      </c>
      <c r="D954" s="2888" t="s">
        <v>676</v>
      </c>
      <c r="E954" s="2907"/>
      <c r="F954" s="2907"/>
      <c r="G954" s="2908"/>
      <c r="H954" s="2888" t="s">
        <v>676</v>
      </c>
      <c r="I954" s="2908"/>
      <c r="J954" s="2888" t="s">
        <v>676</v>
      </c>
      <c r="K954" s="2908"/>
      <c r="L954" s="2271" t="s">
        <v>676</v>
      </c>
      <c r="M954" s="2271" t="s">
        <v>676</v>
      </c>
      <c r="N954" s="2271" t="s">
        <v>676</v>
      </c>
      <c r="O954" s="2272" t="s">
        <v>676</v>
      </c>
      <c r="P954" s="2270" t="s">
        <v>2769</v>
      </c>
      <c r="Q954" s="2270">
        <v>0</v>
      </c>
      <c r="R954" s="2271" t="s">
        <v>676</v>
      </c>
      <c r="S954" s="2271" t="s">
        <v>676</v>
      </c>
      <c r="T954" s="2271" t="s">
        <v>676</v>
      </c>
      <c r="U954" s="2271" t="s">
        <v>676</v>
      </c>
    </row>
    <row r="955" spans="2:21" ht="30">
      <c r="B955" s="2316"/>
      <c r="C955" s="2271" t="s">
        <v>676</v>
      </c>
      <c r="D955" s="2891" t="s">
        <v>676</v>
      </c>
      <c r="E955" s="2907"/>
      <c r="F955" s="2907"/>
      <c r="G955" s="2908"/>
      <c r="H955" s="2892" t="s">
        <v>676</v>
      </c>
      <c r="I955" s="2907"/>
      <c r="J955" s="2888" t="s">
        <v>676</v>
      </c>
      <c r="K955" s="2908"/>
      <c r="L955" s="2271" t="s">
        <v>676</v>
      </c>
      <c r="M955" s="2271" t="s">
        <v>676</v>
      </c>
      <c r="N955" s="2271" t="s">
        <v>676</v>
      </c>
      <c r="O955" s="2272" t="s">
        <v>676</v>
      </c>
      <c r="P955" s="2270" t="s">
        <v>2770</v>
      </c>
      <c r="Q955" s="2270">
        <v>0</v>
      </c>
      <c r="R955" s="2271" t="s">
        <v>676</v>
      </c>
      <c r="S955" s="2271" t="s">
        <v>676</v>
      </c>
      <c r="T955" s="2271" t="s">
        <v>676</v>
      </c>
      <c r="U955" s="2271" t="s">
        <v>676</v>
      </c>
    </row>
    <row r="956" spans="2:21" ht="90">
      <c r="B956" s="2316"/>
      <c r="C956" s="2268">
        <v>13</v>
      </c>
      <c r="D956" s="2882" t="s">
        <v>3042</v>
      </c>
      <c r="E956" s="2905"/>
      <c r="F956" s="2905"/>
      <c r="G956" s="2906"/>
      <c r="H956" s="2882" t="s">
        <v>3043</v>
      </c>
      <c r="I956" s="2906"/>
      <c r="J956" s="2882" t="s">
        <v>2762</v>
      </c>
      <c r="K956" s="2906"/>
      <c r="L956" s="2268" t="s">
        <v>2763</v>
      </c>
      <c r="M956" s="2268" t="s">
        <v>2775</v>
      </c>
      <c r="N956" s="2268" t="s">
        <v>2765</v>
      </c>
      <c r="O956" s="2269">
        <v>100000</v>
      </c>
      <c r="P956" s="2270" t="s">
        <v>2766</v>
      </c>
      <c r="Q956" s="2270">
        <v>100000</v>
      </c>
      <c r="R956" s="2268"/>
      <c r="S956" s="2268" t="s">
        <v>2919</v>
      </c>
      <c r="T956" s="2268" t="s">
        <v>2768</v>
      </c>
      <c r="U956" s="2268"/>
    </row>
    <row r="957" spans="2:21" ht="30">
      <c r="B957" s="2316"/>
      <c r="C957" s="2271" t="s">
        <v>676</v>
      </c>
      <c r="D957" s="2888" t="s">
        <v>676</v>
      </c>
      <c r="E957" s="2907"/>
      <c r="F957" s="2907"/>
      <c r="G957" s="2908"/>
      <c r="H957" s="2888" t="s">
        <v>676</v>
      </c>
      <c r="I957" s="2908"/>
      <c r="J957" s="2888" t="s">
        <v>676</v>
      </c>
      <c r="K957" s="2908"/>
      <c r="L957" s="2271" t="s">
        <v>676</v>
      </c>
      <c r="M957" s="2271" t="s">
        <v>676</v>
      </c>
      <c r="N957" s="2271" t="s">
        <v>676</v>
      </c>
      <c r="O957" s="2272" t="s">
        <v>676</v>
      </c>
      <c r="P957" s="2270" t="s">
        <v>2769</v>
      </c>
      <c r="Q957" s="2270">
        <v>0</v>
      </c>
      <c r="R957" s="2271" t="s">
        <v>676</v>
      </c>
      <c r="S957" s="2271" t="s">
        <v>676</v>
      </c>
      <c r="T957" s="2271" t="s">
        <v>676</v>
      </c>
      <c r="U957" s="2271" t="s">
        <v>676</v>
      </c>
    </row>
    <row r="958" spans="2:21" ht="30">
      <c r="B958" s="2316"/>
      <c r="C958" s="2273" t="s">
        <v>676</v>
      </c>
      <c r="D958" s="2896" t="s">
        <v>676</v>
      </c>
      <c r="E958" s="2897"/>
      <c r="F958" s="2897"/>
      <c r="G958" s="2898"/>
      <c r="H958" s="2899" t="s">
        <v>676</v>
      </c>
      <c r="I958" s="2897"/>
      <c r="J958" s="2900" t="s">
        <v>676</v>
      </c>
      <c r="K958" s="2898"/>
      <c r="L958" s="2273" t="s">
        <v>676</v>
      </c>
      <c r="M958" s="2273" t="s">
        <v>676</v>
      </c>
      <c r="N958" s="2273" t="s">
        <v>676</v>
      </c>
      <c r="O958" s="2274" t="s">
        <v>676</v>
      </c>
      <c r="P958" s="2270" t="s">
        <v>2770</v>
      </c>
      <c r="Q958" s="2270">
        <v>0</v>
      </c>
      <c r="R958" s="2273" t="s">
        <v>676</v>
      </c>
      <c r="S958" s="2273" t="s">
        <v>676</v>
      </c>
      <c r="T958" s="2273" t="s">
        <v>676</v>
      </c>
      <c r="U958" s="2273" t="s">
        <v>676</v>
      </c>
    </row>
    <row r="959" spans="2:21" ht="15">
      <c r="B959" s="2359"/>
      <c r="C959" s="2362"/>
      <c r="D959" s="2337" t="s">
        <v>82</v>
      </c>
      <c r="E959" s="2337"/>
      <c r="F959" s="2337"/>
      <c r="G959" s="2364"/>
      <c r="H959" s="2337"/>
      <c r="I959" s="2337"/>
      <c r="J959" s="2337"/>
      <c r="K959" s="2337"/>
      <c r="L959" s="2338"/>
      <c r="M959" s="2337"/>
      <c r="N959" s="2337"/>
      <c r="O959" s="2365">
        <f>SUM(O920:O958)</f>
        <v>6366663</v>
      </c>
      <c r="P959" s="2340"/>
      <c r="Q959" s="2340">
        <f>SUM(Q920:Q958)</f>
        <v>6366663</v>
      </c>
      <c r="R959" s="2337"/>
      <c r="S959" s="2337"/>
      <c r="T959" s="2337"/>
      <c r="U959" s="2342"/>
    </row>
    <row r="960" spans="2:21" ht="20.25">
      <c r="B960" s="2359"/>
      <c r="C960" s="2360"/>
      <c r="D960" s="2359"/>
      <c r="E960" s="2359"/>
      <c r="F960" s="2359"/>
      <c r="G960" s="2361"/>
      <c r="H960" s="2359"/>
      <c r="I960" s="2359"/>
      <c r="J960" s="2359"/>
      <c r="K960" s="2359"/>
      <c r="L960" s="2360"/>
      <c r="M960" s="2359"/>
      <c r="N960" s="2359"/>
      <c r="O960" s="2327"/>
      <c r="P960" s="2328" t="s">
        <v>2789</v>
      </c>
      <c r="Q960" s="2326"/>
      <c r="R960" s="2359"/>
      <c r="S960" s="2359"/>
      <c r="T960" s="2359"/>
      <c r="U960" s="2359"/>
    </row>
    <row r="961" spans="2:22" ht="20.25">
      <c r="B961" s="2359"/>
      <c r="C961" s="2360"/>
      <c r="D961" s="2359"/>
      <c r="E961" s="2359"/>
      <c r="F961" s="2359"/>
      <c r="G961" s="2361"/>
      <c r="H961" s="2359"/>
      <c r="I961" s="2359"/>
      <c r="J961" s="2359"/>
      <c r="K961" s="2359"/>
      <c r="L961" s="2360"/>
      <c r="M961" s="2359"/>
      <c r="N961" s="2359"/>
      <c r="O961" s="2327"/>
      <c r="P961" s="2328" t="s">
        <v>2790</v>
      </c>
      <c r="Q961" s="2326"/>
      <c r="R961" s="2359"/>
      <c r="S961" s="2359"/>
      <c r="T961" s="2359"/>
      <c r="U961" s="2359"/>
    </row>
    <row r="962" spans="2:22" ht="20.25">
      <c r="C962" s="2938" t="s">
        <v>2749</v>
      </c>
      <c r="D962" s="2939"/>
      <c r="E962" s="2939"/>
      <c r="F962" s="2939"/>
      <c r="G962" s="2939"/>
      <c r="H962" s="2939"/>
      <c r="I962" s="2939"/>
      <c r="J962" s="2265"/>
      <c r="K962" s="2265"/>
      <c r="L962" s="2265"/>
      <c r="M962" s="2265"/>
      <c r="N962" s="2265"/>
      <c r="O962" s="2265"/>
      <c r="P962" s="2307"/>
      <c r="Q962" s="2307"/>
      <c r="R962" s="2307"/>
      <c r="S962" s="2265"/>
      <c r="T962" s="2265"/>
      <c r="U962" s="2265"/>
      <c r="V962" s="2265"/>
    </row>
    <row r="963" spans="2:22" ht="15">
      <c r="C963" s="2265"/>
      <c r="D963" s="2265"/>
      <c r="E963" s="2366"/>
      <c r="F963" s="2366"/>
      <c r="G963" s="2366"/>
      <c r="H963" s="2265"/>
      <c r="I963" s="2265"/>
      <c r="J963" s="2265"/>
      <c r="K963" s="2265"/>
      <c r="L963" s="2265"/>
      <c r="M963" s="2265"/>
      <c r="N963" s="2265"/>
      <c r="O963" s="2265"/>
      <c r="P963" s="2307"/>
      <c r="Q963" s="2307"/>
      <c r="R963" s="2307"/>
      <c r="S963" s="2265"/>
      <c r="T963" s="2265"/>
      <c r="U963" s="2265"/>
      <c r="V963" s="2265"/>
    </row>
    <row r="964" spans="2:22" ht="15">
      <c r="C964" s="2960" t="s">
        <v>653</v>
      </c>
      <c r="D964" s="2889"/>
      <c r="E964" s="2889"/>
      <c r="F964" s="2366"/>
      <c r="G964" s="2367">
        <v>2020</v>
      </c>
      <c r="H964" s="2265"/>
      <c r="I964" s="2265"/>
      <c r="J964" s="2265"/>
      <c r="K964" s="2265"/>
      <c r="L964" s="2265"/>
      <c r="M964" s="2265"/>
      <c r="N964" s="2265"/>
      <c r="O964" s="2265"/>
      <c r="P964" s="2307"/>
      <c r="Q964" s="2307"/>
      <c r="R964" s="2307"/>
      <c r="S964" s="2265"/>
      <c r="T964" s="2265"/>
      <c r="U964" s="2265"/>
      <c r="V964" s="2265"/>
    </row>
    <row r="965" spans="2:22" ht="15">
      <c r="C965" s="2265"/>
      <c r="D965" s="2265"/>
      <c r="E965" s="2366"/>
      <c r="F965" s="2366"/>
      <c r="G965" s="2366"/>
      <c r="H965" s="2265"/>
      <c r="I965" s="2265"/>
      <c r="J965" s="2265"/>
      <c r="K965" s="2265"/>
      <c r="L965" s="2265"/>
      <c r="M965" s="2265"/>
      <c r="N965" s="2265"/>
      <c r="O965" s="2265"/>
      <c r="P965" s="2307"/>
      <c r="Q965" s="2307"/>
      <c r="R965" s="2307"/>
      <c r="S965" s="2265"/>
      <c r="T965" s="2265"/>
      <c r="U965" s="2265"/>
      <c r="V965" s="2265"/>
    </row>
    <row r="966" spans="2:22" ht="15">
      <c r="C966" s="2960" t="s">
        <v>655</v>
      </c>
      <c r="D966" s="2889"/>
      <c r="E966" s="2889"/>
      <c r="F966" s="2366"/>
      <c r="G966" s="2961" t="s">
        <v>3044</v>
      </c>
      <c r="H966" s="2889"/>
      <c r="I966" s="2889"/>
      <c r="J966" s="2889"/>
      <c r="K966" s="2889"/>
      <c r="L966" s="2265"/>
      <c r="M966" s="2265"/>
      <c r="N966" s="2265"/>
      <c r="O966" s="2265"/>
      <c r="P966" s="2307"/>
      <c r="Q966" s="2307"/>
      <c r="R966" s="2307"/>
      <c r="S966" s="2265"/>
      <c r="T966" s="2265"/>
      <c r="U966" s="2265"/>
      <c r="V966" s="2265"/>
    </row>
    <row r="967" spans="2:22" ht="15">
      <c r="C967" s="2265"/>
      <c r="D967" s="2265"/>
      <c r="E967" s="2366"/>
      <c r="F967" s="2366"/>
      <c r="G967" s="2366"/>
      <c r="H967" s="2265"/>
      <c r="I967" s="2265"/>
      <c r="J967" s="2265"/>
      <c r="K967" s="2265"/>
      <c r="L967" s="2265"/>
      <c r="M967" s="2265"/>
      <c r="N967" s="2265"/>
      <c r="O967" s="2265"/>
      <c r="P967" s="2307"/>
      <c r="Q967" s="2307"/>
      <c r="R967" s="2307"/>
      <c r="S967" s="2265"/>
      <c r="T967" s="2265"/>
      <c r="U967" s="2265"/>
      <c r="V967" s="2265"/>
    </row>
    <row r="968" spans="2:22" ht="110.25">
      <c r="C968" s="2265"/>
      <c r="D968" s="2266" t="s">
        <v>657</v>
      </c>
      <c r="E968" s="2893" t="s">
        <v>587</v>
      </c>
      <c r="F968" s="2894"/>
      <c r="G968" s="2894"/>
      <c r="H968" s="2895"/>
      <c r="I968" s="2893" t="s">
        <v>2751</v>
      </c>
      <c r="J968" s="2895"/>
      <c r="K968" s="2893" t="s">
        <v>2752</v>
      </c>
      <c r="L968" s="2895"/>
      <c r="M968" s="2266" t="s">
        <v>2753</v>
      </c>
      <c r="N968" s="2266" t="s">
        <v>2754</v>
      </c>
      <c r="O968" s="2266" t="s">
        <v>2755</v>
      </c>
      <c r="P968" s="2267" t="s">
        <v>2756</v>
      </c>
      <c r="Q968" s="2267" t="s">
        <v>2757</v>
      </c>
      <c r="R968" s="2267" t="s">
        <v>2758</v>
      </c>
      <c r="S968" s="2266" t="s">
        <v>623</v>
      </c>
      <c r="T968" s="2266" t="s">
        <v>2759</v>
      </c>
      <c r="U968" s="2266" t="s">
        <v>2760</v>
      </c>
      <c r="V968" s="2266" t="s">
        <v>2761</v>
      </c>
    </row>
    <row r="969" spans="2:22" ht="45">
      <c r="C969" s="2265"/>
      <c r="D969" s="2268">
        <v>1</v>
      </c>
      <c r="E969" s="2882" t="s">
        <v>172</v>
      </c>
      <c r="F969" s="2883"/>
      <c r="G969" s="2883"/>
      <c r="H969" s="2884"/>
      <c r="I969" s="2882" t="s">
        <v>3045</v>
      </c>
      <c r="J969" s="2884"/>
      <c r="K969" s="2882" t="s">
        <v>2762</v>
      </c>
      <c r="L969" s="2884"/>
      <c r="M969" s="2268" t="s">
        <v>2763</v>
      </c>
      <c r="N969" s="2268" t="s">
        <v>2775</v>
      </c>
      <c r="O969" s="2268" t="s">
        <v>2765</v>
      </c>
      <c r="P969" s="2269">
        <v>100000</v>
      </c>
      <c r="Q969" s="2270" t="s">
        <v>2766</v>
      </c>
      <c r="R969" s="2270">
        <v>100000</v>
      </c>
      <c r="S969" s="2268"/>
      <c r="T969" s="2268" t="s">
        <v>2767</v>
      </c>
      <c r="U969" s="2268" t="s">
        <v>2768</v>
      </c>
      <c r="V969" s="2268"/>
    </row>
    <row r="970" spans="2:22" ht="15">
      <c r="C970" s="2265"/>
      <c r="D970" s="2271" t="s">
        <v>676</v>
      </c>
      <c r="E970" s="2888" t="s">
        <v>676</v>
      </c>
      <c r="F970" s="2889"/>
      <c r="G970" s="2889"/>
      <c r="H970" s="2890"/>
      <c r="I970" s="2888" t="s">
        <v>676</v>
      </c>
      <c r="J970" s="2890"/>
      <c r="K970" s="2888" t="s">
        <v>676</v>
      </c>
      <c r="L970" s="2890"/>
      <c r="M970" s="2271" t="s">
        <v>676</v>
      </c>
      <c r="N970" s="2271" t="s">
        <v>676</v>
      </c>
      <c r="O970" s="2271" t="s">
        <v>676</v>
      </c>
      <c r="P970" s="2272" t="s">
        <v>676</v>
      </c>
      <c r="Q970" s="2270" t="s">
        <v>2769</v>
      </c>
      <c r="R970" s="2270">
        <v>0</v>
      </c>
      <c r="S970" s="2271" t="s">
        <v>676</v>
      </c>
      <c r="T970" s="2271" t="s">
        <v>676</v>
      </c>
      <c r="U970" s="2271" t="s">
        <v>676</v>
      </c>
      <c r="V970" s="2271" t="s">
        <v>676</v>
      </c>
    </row>
    <row r="971" spans="2:22" ht="15">
      <c r="C971" s="2265"/>
      <c r="D971" s="2271" t="s">
        <v>676</v>
      </c>
      <c r="E971" s="2891" t="s">
        <v>676</v>
      </c>
      <c r="F971" s="2889"/>
      <c r="G971" s="2889"/>
      <c r="H971" s="2890"/>
      <c r="I971" s="2892" t="s">
        <v>676</v>
      </c>
      <c r="J971" s="2889"/>
      <c r="K971" s="2888" t="s">
        <v>676</v>
      </c>
      <c r="L971" s="2890"/>
      <c r="M971" s="2271" t="s">
        <v>676</v>
      </c>
      <c r="N971" s="2271" t="s">
        <v>676</v>
      </c>
      <c r="O971" s="2271" t="s">
        <v>676</v>
      </c>
      <c r="P971" s="2272" t="s">
        <v>676</v>
      </c>
      <c r="Q971" s="2270" t="s">
        <v>2770</v>
      </c>
      <c r="R971" s="2270">
        <v>0</v>
      </c>
      <c r="S971" s="2271" t="s">
        <v>676</v>
      </c>
      <c r="T971" s="2271" t="s">
        <v>676</v>
      </c>
      <c r="U971" s="2271" t="s">
        <v>676</v>
      </c>
      <c r="V971" s="2271" t="s">
        <v>676</v>
      </c>
    </row>
    <row r="972" spans="2:22" ht="45">
      <c r="C972" s="2265"/>
      <c r="D972" s="2268">
        <v>2</v>
      </c>
      <c r="E972" s="2882" t="s">
        <v>3046</v>
      </c>
      <c r="F972" s="2883"/>
      <c r="G972" s="2883"/>
      <c r="H972" s="2884"/>
      <c r="I972" s="2882" t="s">
        <v>727</v>
      </c>
      <c r="J972" s="2884"/>
      <c r="K972" s="2882" t="s">
        <v>2762</v>
      </c>
      <c r="L972" s="2884"/>
      <c r="M972" s="2268" t="s">
        <v>2763</v>
      </c>
      <c r="N972" s="2268" t="s">
        <v>2764</v>
      </c>
      <c r="O972" s="2268" t="s">
        <v>2776</v>
      </c>
      <c r="P972" s="2269">
        <v>500000</v>
      </c>
      <c r="Q972" s="2270" t="s">
        <v>2766</v>
      </c>
      <c r="R972" s="2270">
        <v>500000</v>
      </c>
      <c r="S972" s="2268" t="s">
        <v>688</v>
      </c>
      <c r="T972" s="2268" t="s">
        <v>2767</v>
      </c>
      <c r="U972" s="2268" t="s">
        <v>2768</v>
      </c>
      <c r="V972" s="2268"/>
    </row>
    <row r="973" spans="2:22" ht="15">
      <c r="C973" s="2265"/>
      <c r="D973" s="2271" t="s">
        <v>676</v>
      </c>
      <c r="E973" s="2888" t="s">
        <v>676</v>
      </c>
      <c r="F973" s="2889"/>
      <c r="G973" s="2889"/>
      <c r="H973" s="2890"/>
      <c r="I973" s="2888" t="s">
        <v>676</v>
      </c>
      <c r="J973" s="2890"/>
      <c r="K973" s="2888" t="s">
        <v>676</v>
      </c>
      <c r="L973" s="2890"/>
      <c r="M973" s="2271" t="s">
        <v>676</v>
      </c>
      <c r="N973" s="2271" t="s">
        <v>676</v>
      </c>
      <c r="O973" s="2271" t="s">
        <v>676</v>
      </c>
      <c r="P973" s="2272" t="s">
        <v>676</v>
      </c>
      <c r="Q973" s="2270" t="s">
        <v>2769</v>
      </c>
      <c r="R973" s="2270">
        <v>0</v>
      </c>
      <c r="S973" s="2271" t="s">
        <v>676</v>
      </c>
      <c r="T973" s="2271" t="s">
        <v>676</v>
      </c>
      <c r="U973" s="2271" t="s">
        <v>676</v>
      </c>
      <c r="V973" s="2271" t="s">
        <v>676</v>
      </c>
    </row>
    <row r="974" spans="2:22" ht="15">
      <c r="C974" s="2265"/>
      <c r="D974" s="2271" t="s">
        <v>676</v>
      </c>
      <c r="E974" s="2891" t="s">
        <v>676</v>
      </c>
      <c r="F974" s="2889"/>
      <c r="G974" s="2889"/>
      <c r="H974" s="2890"/>
      <c r="I974" s="2892" t="s">
        <v>676</v>
      </c>
      <c r="J974" s="2889"/>
      <c r="K974" s="2888" t="s">
        <v>676</v>
      </c>
      <c r="L974" s="2890"/>
      <c r="M974" s="2271" t="s">
        <v>676</v>
      </c>
      <c r="N974" s="2271" t="s">
        <v>676</v>
      </c>
      <c r="O974" s="2271" t="s">
        <v>676</v>
      </c>
      <c r="P974" s="2272" t="s">
        <v>676</v>
      </c>
      <c r="Q974" s="2270" t="s">
        <v>2770</v>
      </c>
      <c r="R974" s="2270">
        <v>0</v>
      </c>
      <c r="S974" s="2271" t="s">
        <v>676</v>
      </c>
      <c r="T974" s="2271" t="s">
        <v>676</v>
      </c>
      <c r="U974" s="2271" t="s">
        <v>676</v>
      </c>
      <c r="V974" s="2271" t="s">
        <v>676</v>
      </c>
    </row>
    <row r="975" spans="2:22" ht="45">
      <c r="C975" s="2265"/>
      <c r="D975" s="2268">
        <v>3</v>
      </c>
      <c r="E975" s="2882" t="s">
        <v>1865</v>
      </c>
      <c r="F975" s="2883"/>
      <c r="G975" s="2883"/>
      <c r="H975" s="2884"/>
      <c r="I975" s="2882" t="s">
        <v>3047</v>
      </c>
      <c r="J975" s="2884"/>
      <c r="K975" s="2882" t="s">
        <v>2762</v>
      </c>
      <c r="L975" s="2884"/>
      <c r="M975" s="2268" t="s">
        <v>2763</v>
      </c>
      <c r="N975" s="2268" t="s">
        <v>2764</v>
      </c>
      <c r="O975" s="2268" t="s">
        <v>2765</v>
      </c>
      <c r="P975" s="2269">
        <v>100000</v>
      </c>
      <c r="Q975" s="2270" t="s">
        <v>2766</v>
      </c>
      <c r="R975" s="2270">
        <v>100000</v>
      </c>
      <c r="S975" s="2268"/>
      <c r="T975" s="2268" t="s">
        <v>2767</v>
      </c>
      <c r="U975" s="2268" t="s">
        <v>2768</v>
      </c>
      <c r="V975" s="2268"/>
    </row>
    <row r="976" spans="2:22" ht="15">
      <c r="C976" s="2265"/>
      <c r="D976" s="2271" t="s">
        <v>676</v>
      </c>
      <c r="E976" s="2888" t="s">
        <v>676</v>
      </c>
      <c r="F976" s="2889"/>
      <c r="G976" s="2889"/>
      <c r="H976" s="2890"/>
      <c r="I976" s="2888" t="s">
        <v>676</v>
      </c>
      <c r="J976" s="2890"/>
      <c r="K976" s="2888" t="s">
        <v>676</v>
      </c>
      <c r="L976" s="2890"/>
      <c r="M976" s="2271" t="s">
        <v>676</v>
      </c>
      <c r="N976" s="2271" t="s">
        <v>676</v>
      </c>
      <c r="O976" s="2271" t="s">
        <v>676</v>
      </c>
      <c r="P976" s="2272" t="s">
        <v>676</v>
      </c>
      <c r="Q976" s="2270" t="s">
        <v>2769</v>
      </c>
      <c r="R976" s="2270">
        <v>0</v>
      </c>
      <c r="S976" s="2271" t="s">
        <v>676</v>
      </c>
      <c r="T976" s="2271" t="s">
        <v>676</v>
      </c>
      <c r="U976" s="2271" t="s">
        <v>676</v>
      </c>
      <c r="V976" s="2271" t="s">
        <v>676</v>
      </c>
    </row>
    <row r="977" spans="3:22" ht="15">
      <c r="C977" s="2265"/>
      <c r="D977" s="2271" t="s">
        <v>676</v>
      </c>
      <c r="E977" s="2891" t="s">
        <v>676</v>
      </c>
      <c r="F977" s="2889"/>
      <c r="G977" s="2889"/>
      <c r="H977" s="2890"/>
      <c r="I977" s="2892" t="s">
        <v>676</v>
      </c>
      <c r="J977" s="2889"/>
      <c r="K977" s="2888" t="s">
        <v>676</v>
      </c>
      <c r="L977" s="2890"/>
      <c r="M977" s="2271" t="s">
        <v>676</v>
      </c>
      <c r="N977" s="2271" t="s">
        <v>676</v>
      </c>
      <c r="O977" s="2271" t="s">
        <v>676</v>
      </c>
      <c r="P977" s="2272" t="s">
        <v>676</v>
      </c>
      <c r="Q977" s="2270" t="s">
        <v>2770</v>
      </c>
      <c r="R977" s="2270">
        <v>0</v>
      </c>
      <c r="S977" s="2271" t="s">
        <v>676</v>
      </c>
      <c r="T977" s="2271" t="s">
        <v>676</v>
      </c>
      <c r="U977" s="2271" t="s">
        <v>676</v>
      </c>
      <c r="V977" s="2271" t="s">
        <v>676</v>
      </c>
    </row>
    <row r="978" spans="3:22" ht="45">
      <c r="C978" s="2265"/>
      <c r="D978" s="2268">
        <v>4</v>
      </c>
      <c r="E978" s="2882" t="s">
        <v>1542</v>
      </c>
      <c r="F978" s="2883"/>
      <c r="G978" s="2883"/>
      <c r="H978" s="2884"/>
      <c r="I978" s="2882" t="s">
        <v>1351</v>
      </c>
      <c r="J978" s="2884"/>
      <c r="K978" s="2882" t="s">
        <v>2762</v>
      </c>
      <c r="L978" s="2884"/>
      <c r="M978" s="2268" t="s">
        <v>2763</v>
      </c>
      <c r="N978" s="2268" t="s">
        <v>2775</v>
      </c>
      <c r="O978" s="2268" t="s">
        <v>2765</v>
      </c>
      <c r="P978" s="2269">
        <v>25000</v>
      </c>
      <c r="Q978" s="2270" t="s">
        <v>2766</v>
      </c>
      <c r="R978" s="2270">
        <v>25000</v>
      </c>
      <c r="S978" s="2268"/>
      <c r="T978" s="2268" t="s">
        <v>2767</v>
      </c>
      <c r="U978" s="2268" t="s">
        <v>2768</v>
      </c>
      <c r="V978" s="2268"/>
    </row>
    <row r="979" spans="3:22" ht="15">
      <c r="C979" s="2265"/>
      <c r="D979" s="2271" t="s">
        <v>676</v>
      </c>
      <c r="E979" s="2888" t="s">
        <v>676</v>
      </c>
      <c r="F979" s="2889"/>
      <c r="G979" s="2889"/>
      <c r="H979" s="2890"/>
      <c r="I979" s="2888" t="s">
        <v>676</v>
      </c>
      <c r="J979" s="2890"/>
      <c r="K979" s="2888" t="s">
        <v>676</v>
      </c>
      <c r="L979" s="2890"/>
      <c r="M979" s="2271" t="s">
        <v>676</v>
      </c>
      <c r="N979" s="2271" t="s">
        <v>676</v>
      </c>
      <c r="O979" s="2271" t="s">
        <v>676</v>
      </c>
      <c r="P979" s="2272" t="s">
        <v>676</v>
      </c>
      <c r="Q979" s="2270" t="s">
        <v>2769</v>
      </c>
      <c r="R979" s="2270">
        <v>0</v>
      </c>
      <c r="S979" s="2271" t="s">
        <v>676</v>
      </c>
      <c r="T979" s="2271" t="s">
        <v>676</v>
      </c>
      <c r="U979" s="2271" t="s">
        <v>676</v>
      </c>
      <c r="V979" s="2271" t="s">
        <v>676</v>
      </c>
    </row>
    <row r="980" spans="3:22" ht="15">
      <c r="C980" s="2265"/>
      <c r="D980" s="2271" t="s">
        <v>676</v>
      </c>
      <c r="E980" s="2891" t="s">
        <v>676</v>
      </c>
      <c r="F980" s="2889"/>
      <c r="G980" s="2889"/>
      <c r="H980" s="2890"/>
      <c r="I980" s="2892" t="s">
        <v>676</v>
      </c>
      <c r="J980" s="2889"/>
      <c r="K980" s="2888" t="s">
        <v>676</v>
      </c>
      <c r="L980" s="2890"/>
      <c r="M980" s="2271" t="s">
        <v>676</v>
      </c>
      <c r="N980" s="2271" t="s">
        <v>676</v>
      </c>
      <c r="O980" s="2271" t="s">
        <v>676</v>
      </c>
      <c r="P980" s="2272" t="s">
        <v>676</v>
      </c>
      <c r="Q980" s="2270" t="s">
        <v>2770</v>
      </c>
      <c r="R980" s="2270">
        <v>0</v>
      </c>
      <c r="S980" s="2271" t="s">
        <v>676</v>
      </c>
      <c r="T980" s="2271" t="s">
        <v>676</v>
      </c>
      <c r="U980" s="2271" t="s">
        <v>676</v>
      </c>
      <c r="V980" s="2271" t="s">
        <v>676</v>
      </c>
    </row>
    <row r="981" spans="3:22" ht="45">
      <c r="C981" s="2265"/>
      <c r="D981" s="2268">
        <v>5</v>
      </c>
      <c r="E981" s="2882" t="s">
        <v>1518</v>
      </c>
      <c r="F981" s="2883"/>
      <c r="G981" s="2883"/>
      <c r="H981" s="2884"/>
      <c r="I981" s="2882" t="s">
        <v>1066</v>
      </c>
      <c r="J981" s="2884"/>
      <c r="K981" s="2882" t="s">
        <v>2762</v>
      </c>
      <c r="L981" s="2884"/>
      <c r="M981" s="2268" t="s">
        <v>2763</v>
      </c>
      <c r="N981" s="2268" t="s">
        <v>2775</v>
      </c>
      <c r="O981" s="2268" t="s">
        <v>2776</v>
      </c>
      <c r="P981" s="2269">
        <v>400000</v>
      </c>
      <c r="Q981" s="2270" t="s">
        <v>2766</v>
      </c>
      <c r="R981" s="2270">
        <v>400000</v>
      </c>
      <c r="S981" s="2268" t="s">
        <v>688</v>
      </c>
      <c r="T981" s="2268" t="s">
        <v>2767</v>
      </c>
      <c r="U981" s="2268" t="s">
        <v>2768</v>
      </c>
      <c r="V981" s="2268"/>
    </row>
    <row r="982" spans="3:22" ht="15">
      <c r="C982" s="2265"/>
      <c r="D982" s="2271" t="s">
        <v>676</v>
      </c>
      <c r="E982" s="2888" t="s">
        <v>676</v>
      </c>
      <c r="F982" s="2889"/>
      <c r="G982" s="2889"/>
      <c r="H982" s="2890"/>
      <c r="I982" s="2888" t="s">
        <v>676</v>
      </c>
      <c r="J982" s="2890"/>
      <c r="K982" s="2888" t="s">
        <v>676</v>
      </c>
      <c r="L982" s="2890"/>
      <c r="M982" s="2271" t="s">
        <v>676</v>
      </c>
      <c r="N982" s="2271" t="s">
        <v>676</v>
      </c>
      <c r="O982" s="2271" t="s">
        <v>676</v>
      </c>
      <c r="P982" s="2272" t="s">
        <v>676</v>
      </c>
      <c r="Q982" s="2270" t="s">
        <v>2769</v>
      </c>
      <c r="R982" s="2270">
        <v>0</v>
      </c>
      <c r="S982" s="2271" t="s">
        <v>676</v>
      </c>
      <c r="T982" s="2271" t="s">
        <v>676</v>
      </c>
      <c r="U982" s="2271" t="s">
        <v>676</v>
      </c>
      <c r="V982" s="2271" t="s">
        <v>676</v>
      </c>
    </row>
    <row r="983" spans="3:22" ht="15">
      <c r="C983" s="2265"/>
      <c r="D983" s="2271" t="s">
        <v>676</v>
      </c>
      <c r="E983" s="2891" t="s">
        <v>676</v>
      </c>
      <c r="F983" s="2889"/>
      <c r="G983" s="2889"/>
      <c r="H983" s="2890"/>
      <c r="I983" s="2892" t="s">
        <v>676</v>
      </c>
      <c r="J983" s="2889"/>
      <c r="K983" s="2888" t="s">
        <v>676</v>
      </c>
      <c r="L983" s="2890"/>
      <c r="M983" s="2271" t="s">
        <v>676</v>
      </c>
      <c r="N983" s="2271" t="s">
        <v>676</v>
      </c>
      <c r="O983" s="2271" t="s">
        <v>676</v>
      </c>
      <c r="P983" s="2272" t="s">
        <v>676</v>
      </c>
      <c r="Q983" s="2270" t="s">
        <v>2770</v>
      </c>
      <c r="R983" s="2270">
        <v>0</v>
      </c>
      <c r="S983" s="2271" t="s">
        <v>676</v>
      </c>
      <c r="T983" s="2271" t="s">
        <v>676</v>
      </c>
      <c r="U983" s="2271" t="s">
        <v>676</v>
      </c>
      <c r="V983" s="2271" t="s">
        <v>676</v>
      </c>
    </row>
    <row r="984" spans="3:22" ht="45">
      <c r="C984" s="2265"/>
      <c r="D984" s="2268">
        <v>6</v>
      </c>
      <c r="E984" s="2882" t="s">
        <v>3048</v>
      </c>
      <c r="F984" s="2883"/>
      <c r="G984" s="2883"/>
      <c r="H984" s="2884"/>
      <c r="I984" s="2882" t="s">
        <v>1119</v>
      </c>
      <c r="J984" s="2884"/>
      <c r="K984" s="2882" t="s">
        <v>2762</v>
      </c>
      <c r="L984" s="2884"/>
      <c r="M984" s="2268" t="s">
        <v>2763</v>
      </c>
      <c r="N984" s="2268" t="s">
        <v>2775</v>
      </c>
      <c r="O984" s="2268" t="s">
        <v>2765</v>
      </c>
      <c r="P984" s="2269">
        <v>100000</v>
      </c>
      <c r="Q984" s="2270" t="s">
        <v>2766</v>
      </c>
      <c r="R984" s="2270">
        <v>100000</v>
      </c>
      <c r="S984" s="2268"/>
      <c r="T984" s="2268" t="s">
        <v>2767</v>
      </c>
      <c r="U984" s="2268" t="s">
        <v>2768</v>
      </c>
      <c r="V984" s="2268"/>
    </row>
    <row r="985" spans="3:22" ht="15">
      <c r="C985" s="2265"/>
      <c r="D985" s="2271" t="s">
        <v>676</v>
      </c>
      <c r="E985" s="2888" t="s">
        <v>676</v>
      </c>
      <c r="F985" s="2889"/>
      <c r="G985" s="2889"/>
      <c r="H985" s="2890"/>
      <c r="I985" s="2888" t="s">
        <v>676</v>
      </c>
      <c r="J985" s="2890"/>
      <c r="K985" s="2888" t="s">
        <v>676</v>
      </c>
      <c r="L985" s="2890"/>
      <c r="M985" s="2271" t="s">
        <v>676</v>
      </c>
      <c r="N985" s="2271" t="s">
        <v>676</v>
      </c>
      <c r="O985" s="2271" t="s">
        <v>676</v>
      </c>
      <c r="P985" s="2272" t="s">
        <v>676</v>
      </c>
      <c r="Q985" s="2270" t="s">
        <v>2769</v>
      </c>
      <c r="R985" s="2270">
        <v>0</v>
      </c>
      <c r="S985" s="2271" t="s">
        <v>676</v>
      </c>
      <c r="T985" s="2271" t="s">
        <v>676</v>
      </c>
      <c r="U985" s="2271" t="s">
        <v>676</v>
      </c>
      <c r="V985" s="2271" t="s">
        <v>676</v>
      </c>
    </row>
    <row r="986" spans="3:22" ht="15">
      <c r="C986" s="2265"/>
      <c r="D986" s="2271" t="s">
        <v>676</v>
      </c>
      <c r="E986" s="2891" t="s">
        <v>676</v>
      </c>
      <c r="F986" s="2889"/>
      <c r="G986" s="2889"/>
      <c r="H986" s="2890"/>
      <c r="I986" s="2892" t="s">
        <v>676</v>
      </c>
      <c r="J986" s="2889"/>
      <c r="K986" s="2888" t="s">
        <v>676</v>
      </c>
      <c r="L986" s="2890"/>
      <c r="M986" s="2271" t="s">
        <v>676</v>
      </c>
      <c r="N986" s="2271" t="s">
        <v>676</v>
      </c>
      <c r="O986" s="2271" t="s">
        <v>676</v>
      </c>
      <c r="P986" s="2272" t="s">
        <v>676</v>
      </c>
      <c r="Q986" s="2270" t="s">
        <v>2770</v>
      </c>
      <c r="R986" s="2270">
        <v>0</v>
      </c>
      <c r="S986" s="2271" t="s">
        <v>676</v>
      </c>
      <c r="T986" s="2271" t="s">
        <v>676</v>
      </c>
      <c r="U986" s="2271" t="s">
        <v>676</v>
      </c>
      <c r="V986" s="2271" t="s">
        <v>676</v>
      </c>
    </row>
    <row r="987" spans="3:22" ht="45">
      <c r="C987" s="2265"/>
      <c r="D987" s="2268">
        <v>7</v>
      </c>
      <c r="E987" s="2882" t="s">
        <v>1900</v>
      </c>
      <c r="F987" s="2883"/>
      <c r="G987" s="2883"/>
      <c r="H987" s="2884"/>
      <c r="I987" s="2882" t="s">
        <v>675</v>
      </c>
      <c r="J987" s="2884"/>
      <c r="K987" s="2882" t="s">
        <v>2762</v>
      </c>
      <c r="L987" s="2884"/>
      <c r="M987" s="2268" t="s">
        <v>2763</v>
      </c>
      <c r="N987" s="2268" t="s">
        <v>2775</v>
      </c>
      <c r="O987" s="2268" t="s">
        <v>2765</v>
      </c>
      <c r="P987" s="2269">
        <v>100000</v>
      </c>
      <c r="Q987" s="2270" t="s">
        <v>2766</v>
      </c>
      <c r="R987" s="2270">
        <v>100000</v>
      </c>
      <c r="S987" s="2268"/>
      <c r="T987" s="2268" t="s">
        <v>2767</v>
      </c>
      <c r="U987" s="2268" t="s">
        <v>2768</v>
      </c>
      <c r="V987" s="2268"/>
    </row>
    <row r="988" spans="3:22" ht="15">
      <c r="C988" s="2265"/>
      <c r="D988" s="2271" t="s">
        <v>676</v>
      </c>
      <c r="E988" s="2888" t="s">
        <v>676</v>
      </c>
      <c r="F988" s="2889"/>
      <c r="G988" s="2889"/>
      <c r="H988" s="2890"/>
      <c r="I988" s="2888" t="s">
        <v>676</v>
      </c>
      <c r="J988" s="2890"/>
      <c r="K988" s="2888" t="s">
        <v>676</v>
      </c>
      <c r="L988" s="2890"/>
      <c r="M988" s="2271" t="s">
        <v>676</v>
      </c>
      <c r="N988" s="2271" t="s">
        <v>676</v>
      </c>
      <c r="O988" s="2271" t="s">
        <v>676</v>
      </c>
      <c r="P988" s="2272" t="s">
        <v>676</v>
      </c>
      <c r="Q988" s="2270" t="s">
        <v>2769</v>
      </c>
      <c r="R988" s="2270">
        <v>0</v>
      </c>
      <c r="S988" s="2271" t="s">
        <v>676</v>
      </c>
      <c r="T988" s="2271" t="s">
        <v>676</v>
      </c>
      <c r="U988" s="2271" t="s">
        <v>676</v>
      </c>
      <c r="V988" s="2271" t="s">
        <v>676</v>
      </c>
    </row>
    <row r="989" spans="3:22" ht="15">
      <c r="C989" s="2265"/>
      <c r="D989" s="2271" t="s">
        <v>676</v>
      </c>
      <c r="E989" s="2891" t="s">
        <v>676</v>
      </c>
      <c r="F989" s="2889"/>
      <c r="G989" s="2889"/>
      <c r="H989" s="2890"/>
      <c r="I989" s="2892" t="s">
        <v>676</v>
      </c>
      <c r="J989" s="2889"/>
      <c r="K989" s="2888" t="s">
        <v>676</v>
      </c>
      <c r="L989" s="2890"/>
      <c r="M989" s="2271" t="s">
        <v>676</v>
      </c>
      <c r="N989" s="2271" t="s">
        <v>676</v>
      </c>
      <c r="O989" s="2271" t="s">
        <v>676</v>
      </c>
      <c r="P989" s="2272" t="s">
        <v>676</v>
      </c>
      <c r="Q989" s="2270" t="s">
        <v>2770</v>
      </c>
      <c r="R989" s="2270">
        <v>0</v>
      </c>
      <c r="S989" s="2271" t="s">
        <v>676</v>
      </c>
      <c r="T989" s="2271" t="s">
        <v>676</v>
      </c>
      <c r="U989" s="2271" t="s">
        <v>676</v>
      </c>
      <c r="V989" s="2271" t="s">
        <v>676</v>
      </c>
    </row>
    <row r="990" spans="3:22" ht="45">
      <c r="C990" s="2265"/>
      <c r="D990" s="2268">
        <v>8</v>
      </c>
      <c r="E990" s="2882" t="s">
        <v>3049</v>
      </c>
      <c r="F990" s="2883"/>
      <c r="G990" s="2883"/>
      <c r="H990" s="2884"/>
      <c r="I990" s="2882" t="s">
        <v>727</v>
      </c>
      <c r="J990" s="2884"/>
      <c r="K990" s="2882" t="s">
        <v>2762</v>
      </c>
      <c r="L990" s="2884"/>
      <c r="M990" s="2268" t="s">
        <v>2763</v>
      </c>
      <c r="N990" s="2268" t="s">
        <v>2764</v>
      </c>
      <c r="O990" s="2268" t="s">
        <v>2776</v>
      </c>
      <c r="P990" s="2269">
        <v>500000</v>
      </c>
      <c r="Q990" s="2270" t="s">
        <v>2766</v>
      </c>
      <c r="R990" s="2270">
        <v>500000</v>
      </c>
      <c r="S990" s="2268" t="s">
        <v>688</v>
      </c>
      <c r="T990" s="2268" t="s">
        <v>2767</v>
      </c>
      <c r="U990" s="2268" t="s">
        <v>2768</v>
      </c>
      <c r="V990" s="2268"/>
    </row>
    <row r="991" spans="3:22" ht="15">
      <c r="C991" s="2265"/>
      <c r="D991" s="2271" t="s">
        <v>676</v>
      </c>
      <c r="E991" s="2888" t="s">
        <v>676</v>
      </c>
      <c r="F991" s="2889"/>
      <c r="G991" s="2889"/>
      <c r="H991" s="2890"/>
      <c r="I991" s="2888" t="s">
        <v>676</v>
      </c>
      <c r="J991" s="2890"/>
      <c r="K991" s="2888" t="s">
        <v>676</v>
      </c>
      <c r="L991" s="2890"/>
      <c r="M991" s="2271" t="s">
        <v>676</v>
      </c>
      <c r="N991" s="2271" t="s">
        <v>676</v>
      </c>
      <c r="O991" s="2271" t="s">
        <v>676</v>
      </c>
      <c r="P991" s="2272" t="s">
        <v>676</v>
      </c>
      <c r="Q991" s="2270" t="s">
        <v>2769</v>
      </c>
      <c r="R991" s="2270">
        <v>0</v>
      </c>
      <c r="S991" s="2271" t="s">
        <v>676</v>
      </c>
      <c r="T991" s="2271" t="s">
        <v>676</v>
      </c>
      <c r="U991" s="2271" t="s">
        <v>676</v>
      </c>
      <c r="V991" s="2271" t="s">
        <v>676</v>
      </c>
    </row>
    <row r="992" spans="3:22" ht="15">
      <c r="C992" s="2265"/>
      <c r="D992" s="2271" t="s">
        <v>676</v>
      </c>
      <c r="E992" s="2891" t="s">
        <v>676</v>
      </c>
      <c r="F992" s="2889"/>
      <c r="G992" s="2889"/>
      <c r="H992" s="2890"/>
      <c r="I992" s="2892" t="s">
        <v>676</v>
      </c>
      <c r="J992" s="2889"/>
      <c r="K992" s="2888" t="s">
        <v>676</v>
      </c>
      <c r="L992" s="2890"/>
      <c r="M992" s="2271" t="s">
        <v>676</v>
      </c>
      <c r="N992" s="2271" t="s">
        <v>676</v>
      </c>
      <c r="O992" s="2271" t="s">
        <v>676</v>
      </c>
      <c r="P992" s="2272" t="s">
        <v>676</v>
      </c>
      <c r="Q992" s="2270" t="s">
        <v>2770</v>
      </c>
      <c r="R992" s="2270">
        <v>0</v>
      </c>
      <c r="S992" s="2271" t="s">
        <v>676</v>
      </c>
      <c r="T992" s="2271" t="s">
        <v>676</v>
      </c>
      <c r="U992" s="2271" t="s">
        <v>676</v>
      </c>
      <c r="V992" s="2271" t="s">
        <v>676</v>
      </c>
    </row>
    <row r="993" spans="3:22" ht="45">
      <c r="C993" s="2265"/>
      <c r="D993" s="2268">
        <v>9</v>
      </c>
      <c r="E993" s="2882" t="s">
        <v>3050</v>
      </c>
      <c r="F993" s="2883"/>
      <c r="G993" s="2883"/>
      <c r="H993" s="2884"/>
      <c r="I993" s="2882" t="s">
        <v>727</v>
      </c>
      <c r="J993" s="2884"/>
      <c r="K993" s="2882" t="s">
        <v>2762</v>
      </c>
      <c r="L993" s="2884"/>
      <c r="M993" s="2268" t="s">
        <v>2763</v>
      </c>
      <c r="N993" s="2268" t="s">
        <v>2764</v>
      </c>
      <c r="O993" s="2268" t="s">
        <v>2765</v>
      </c>
      <c r="P993" s="2269">
        <v>100000</v>
      </c>
      <c r="Q993" s="2270" t="s">
        <v>2766</v>
      </c>
      <c r="R993" s="2270">
        <v>100000</v>
      </c>
      <c r="S993" s="2268"/>
      <c r="T993" s="2268" t="s">
        <v>2767</v>
      </c>
      <c r="U993" s="2268" t="s">
        <v>2768</v>
      </c>
      <c r="V993" s="2268"/>
    </row>
    <row r="994" spans="3:22" ht="15">
      <c r="C994" s="2265"/>
      <c r="D994" s="2271" t="s">
        <v>676</v>
      </c>
      <c r="E994" s="2888" t="s">
        <v>676</v>
      </c>
      <c r="F994" s="2889"/>
      <c r="G994" s="2889"/>
      <c r="H994" s="2890"/>
      <c r="I994" s="2888" t="s">
        <v>676</v>
      </c>
      <c r="J994" s="2890"/>
      <c r="K994" s="2888" t="s">
        <v>676</v>
      </c>
      <c r="L994" s="2890"/>
      <c r="M994" s="2271" t="s">
        <v>676</v>
      </c>
      <c r="N994" s="2271" t="s">
        <v>676</v>
      </c>
      <c r="O994" s="2271" t="s">
        <v>676</v>
      </c>
      <c r="P994" s="2272" t="s">
        <v>676</v>
      </c>
      <c r="Q994" s="2270" t="s">
        <v>2769</v>
      </c>
      <c r="R994" s="2270">
        <v>0</v>
      </c>
      <c r="S994" s="2271" t="s">
        <v>676</v>
      </c>
      <c r="T994" s="2271" t="s">
        <v>676</v>
      </c>
      <c r="U994" s="2271" t="s">
        <v>676</v>
      </c>
      <c r="V994" s="2271" t="s">
        <v>676</v>
      </c>
    </row>
    <row r="995" spans="3:22" ht="15">
      <c r="C995" s="2265"/>
      <c r="D995" s="2271" t="s">
        <v>676</v>
      </c>
      <c r="E995" s="2891" t="s">
        <v>676</v>
      </c>
      <c r="F995" s="2889"/>
      <c r="G995" s="2889"/>
      <c r="H995" s="2890"/>
      <c r="I995" s="2892" t="s">
        <v>676</v>
      </c>
      <c r="J995" s="2889"/>
      <c r="K995" s="2888" t="s">
        <v>676</v>
      </c>
      <c r="L995" s="2890"/>
      <c r="M995" s="2271" t="s">
        <v>676</v>
      </c>
      <c r="N995" s="2271" t="s">
        <v>676</v>
      </c>
      <c r="O995" s="2271" t="s">
        <v>676</v>
      </c>
      <c r="P995" s="2272" t="s">
        <v>676</v>
      </c>
      <c r="Q995" s="2270" t="s">
        <v>2770</v>
      </c>
      <c r="R995" s="2270">
        <v>0</v>
      </c>
      <c r="S995" s="2271" t="s">
        <v>676</v>
      </c>
      <c r="T995" s="2271" t="s">
        <v>676</v>
      </c>
      <c r="U995" s="2271" t="s">
        <v>676</v>
      </c>
      <c r="V995" s="2271" t="s">
        <v>676</v>
      </c>
    </row>
    <row r="996" spans="3:22" ht="45">
      <c r="C996" s="2265"/>
      <c r="D996" s="2268">
        <v>10</v>
      </c>
      <c r="E996" s="2882" t="s">
        <v>3051</v>
      </c>
      <c r="F996" s="2883"/>
      <c r="G996" s="2883"/>
      <c r="H996" s="2884"/>
      <c r="I996" s="2882" t="s">
        <v>787</v>
      </c>
      <c r="J996" s="2884"/>
      <c r="K996" s="2882" t="s">
        <v>2762</v>
      </c>
      <c r="L996" s="2884"/>
      <c r="M996" s="2268" t="s">
        <v>2763</v>
      </c>
      <c r="N996" s="2268" t="s">
        <v>2764</v>
      </c>
      <c r="O996" s="2268" t="s">
        <v>2776</v>
      </c>
      <c r="P996" s="2269">
        <v>400000</v>
      </c>
      <c r="Q996" s="2270" t="s">
        <v>2766</v>
      </c>
      <c r="R996" s="2270">
        <v>400000</v>
      </c>
      <c r="S996" s="2268" t="s">
        <v>688</v>
      </c>
      <c r="T996" s="2268" t="s">
        <v>2767</v>
      </c>
      <c r="U996" s="2268" t="s">
        <v>2768</v>
      </c>
      <c r="V996" s="2268"/>
    </row>
    <row r="997" spans="3:22" ht="15">
      <c r="C997" s="2265"/>
      <c r="D997" s="2271" t="s">
        <v>676</v>
      </c>
      <c r="E997" s="2888" t="s">
        <v>676</v>
      </c>
      <c r="F997" s="2889"/>
      <c r="G997" s="2889"/>
      <c r="H997" s="2890"/>
      <c r="I997" s="2888" t="s">
        <v>676</v>
      </c>
      <c r="J997" s="2890"/>
      <c r="K997" s="2888" t="s">
        <v>676</v>
      </c>
      <c r="L997" s="2890"/>
      <c r="M997" s="2271" t="s">
        <v>676</v>
      </c>
      <c r="N997" s="2271" t="s">
        <v>676</v>
      </c>
      <c r="O997" s="2271" t="s">
        <v>676</v>
      </c>
      <c r="P997" s="2272" t="s">
        <v>676</v>
      </c>
      <c r="Q997" s="2270" t="s">
        <v>2769</v>
      </c>
      <c r="R997" s="2270">
        <v>0</v>
      </c>
      <c r="S997" s="2271" t="s">
        <v>676</v>
      </c>
      <c r="T997" s="2271" t="s">
        <v>676</v>
      </c>
      <c r="U997" s="2271" t="s">
        <v>676</v>
      </c>
      <c r="V997" s="2271" t="s">
        <v>676</v>
      </c>
    </row>
    <row r="998" spans="3:22" ht="15">
      <c r="C998" s="2265"/>
      <c r="D998" s="2271" t="s">
        <v>676</v>
      </c>
      <c r="E998" s="2891" t="s">
        <v>676</v>
      </c>
      <c r="F998" s="2889"/>
      <c r="G998" s="2889"/>
      <c r="H998" s="2890"/>
      <c r="I998" s="2892" t="s">
        <v>676</v>
      </c>
      <c r="J998" s="2889"/>
      <c r="K998" s="2888" t="s">
        <v>676</v>
      </c>
      <c r="L998" s="2890"/>
      <c r="M998" s="2271" t="s">
        <v>676</v>
      </c>
      <c r="N998" s="2271" t="s">
        <v>676</v>
      </c>
      <c r="O998" s="2271" t="s">
        <v>676</v>
      </c>
      <c r="P998" s="2272" t="s">
        <v>676</v>
      </c>
      <c r="Q998" s="2270" t="s">
        <v>2770</v>
      </c>
      <c r="R998" s="2270">
        <v>0</v>
      </c>
      <c r="S998" s="2271" t="s">
        <v>676</v>
      </c>
      <c r="T998" s="2271" t="s">
        <v>676</v>
      </c>
      <c r="U998" s="2271" t="s">
        <v>676</v>
      </c>
      <c r="V998" s="2271" t="s">
        <v>676</v>
      </c>
    </row>
    <row r="999" spans="3:22" ht="45">
      <c r="C999" s="2265"/>
      <c r="D999" s="2268">
        <v>11</v>
      </c>
      <c r="E999" s="2882" t="s">
        <v>827</v>
      </c>
      <c r="F999" s="2883"/>
      <c r="G999" s="2883"/>
      <c r="H999" s="2884"/>
      <c r="I999" s="2882" t="s">
        <v>699</v>
      </c>
      <c r="J999" s="2884"/>
      <c r="K999" s="2882" t="s">
        <v>2762</v>
      </c>
      <c r="L999" s="2884"/>
      <c r="M999" s="2268" t="s">
        <v>2763</v>
      </c>
      <c r="N999" s="2268" t="s">
        <v>2775</v>
      </c>
      <c r="O999" s="2268" t="s">
        <v>2776</v>
      </c>
      <c r="P999" s="2269">
        <v>300000</v>
      </c>
      <c r="Q999" s="2270" t="s">
        <v>2766</v>
      </c>
      <c r="R999" s="2270">
        <v>300000</v>
      </c>
      <c r="S999" s="2268" t="s">
        <v>688</v>
      </c>
      <c r="T999" s="2268" t="s">
        <v>2767</v>
      </c>
      <c r="U999" s="2268" t="s">
        <v>2768</v>
      </c>
      <c r="V999" s="2268"/>
    </row>
    <row r="1000" spans="3:22" ht="15">
      <c r="C1000" s="2265"/>
      <c r="D1000" s="2271" t="s">
        <v>676</v>
      </c>
      <c r="E1000" s="2888" t="s">
        <v>676</v>
      </c>
      <c r="F1000" s="2889"/>
      <c r="G1000" s="2889"/>
      <c r="H1000" s="2890"/>
      <c r="I1000" s="2888" t="s">
        <v>676</v>
      </c>
      <c r="J1000" s="2890"/>
      <c r="K1000" s="2888" t="s">
        <v>676</v>
      </c>
      <c r="L1000" s="2890"/>
      <c r="M1000" s="2271" t="s">
        <v>676</v>
      </c>
      <c r="N1000" s="2271" t="s">
        <v>676</v>
      </c>
      <c r="O1000" s="2271" t="s">
        <v>676</v>
      </c>
      <c r="P1000" s="2272" t="s">
        <v>676</v>
      </c>
      <c r="Q1000" s="2270" t="s">
        <v>2769</v>
      </c>
      <c r="R1000" s="2270">
        <v>0</v>
      </c>
      <c r="S1000" s="2271" t="s">
        <v>676</v>
      </c>
      <c r="T1000" s="2271" t="s">
        <v>676</v>
      </c>
      <c r="U1000" s="2271" t="s">
        <v>676</v>
      </c>
      <c r="V1000" s="2271" t="s">
        <v>676</v>
      </c>
    </row>
    <row r="1001" spans="3:22" ht="15">
      <c r="C1001" s="2265"/>
      <c r="D1001" s="2271" t="s">
        <v>676</v>
      </c>
      <c r="E1001" s="2891" t="s">
        <v>676</v>
      </c>
      <c r="F1001" s="2889"/>
      <c r="G1001" s="2889"/>
      <c r="H1001" s="2890"/>
      <c r="I1001" s="2892" t="s">
        <v>676</v>
      </c>
      <c r="J1001" s="2889"/>
      <c r="K1001" s="2888" t="s">
        <v>676</v>
      </c>
      <c r="L1001" s="2890"/>
      <c r="M1001" s="2271" t="s">
        <v>676</v>
      </c>
      <c r="N1001" s="2271" t="s">
        <v>676</v>
      </c>
      <c r="O1001" s="2271" t="s">
        <v>676</v>
      </c>
      <c r="P1001" s="2272" t="s">
        <v>676</v>
      </c>
      <c r="Q1001" s="2270" t="s">
        <v>2770</v>
      </c>
      <c r="R1001" s="2270">
        <v>0</v>
      </c>
      <c r="S1001" s="2271" t="s">
        <v>676</v>
      </c>
      <c r="T1001" s="2271" t="s">
        <v>676</v>
      </c>
      <c r="U1001" s="2271" t="s">
        <v>676</v>
      </c>
      <c r="V1001" s="2271" t="s">
        <v>676</v>
      </c>
    </row>
    <row r="1002" spans="3:22" ht="45">
      <c r="C1002" s="2265"/>
      <c r="D1002" s="2268">
        <v>12</v>
      </c>
      <c r="E1002" s="2882" t="s">
        <v>3052</v>
      </c>
      <c r="F1002" s="2883"/>
      <c r="G1002" s="2883"/>
      <c r="H1002" s="2884"/>
      <c r="I1002" s="2882" t="s">
        <v>749</v>
      </c>
      <c r="J1002" s="2884"/>
      <c r="K1002" s="2882" t="s">
        <v>2762</v>
      </c>
      <c r="L1002" s="2884"/>
      <c r="M1002" s="2268" t="s">
        <v>2763</v>
      </c>
      <c r="N1002" s="2268" t="s">
        <v>2764</v>
      </c>
      <c r="O1002" s="2268" t="s">
        <v>2765</v>
      </c>
      <c r="P1002" s="2269">
        <v>100000</v>
      </c>
      <c r="Q1002" s="2270" t="s">
        <v>2766</v>
      </c>
      <c r="R1002" s="2270">
        <v>100000</v>
      </c>
      <c r="S1002" s="2268"/>
      <c r="T1002" s="2268" t="s">
        <v>2767</v>
      </c>
      <c r="U1002" s="2268" t="s">
        <v>2768</v>
      </c>
      <c r="V1002" s="2268"/>
    </row>
    <row r="1003" spans="3:22" ht="15">
      <c r="C1003" s="2265"/>
      <c r="D1003" s="2271" t="s">
        <v>676</v>
      </c>
      <c r="E1003" s="2888" t="s">
        <v>676</v>
      </c>
      <c r="F1003" s="2889"/>
      <c r="G1003" s="2889"/>
      <c r="H1003" s="2890"/>
      <c r="I1003" s="2888" t="s">
        <v>676</v>
      </c>
      <c r="J1003" s="2890"/>
      <c r="K1003" s="2888" t="s">
        <v>676</v>
      </c>
      <c r="L1003" s="2890"/>
      <c r="M1003" s="2271" t="s">
        <v>676</v>
      </c>
      <c r="N1003" s="2271" t="s">
        <v>676</v>
      </c>
      <c r="O1003" s="2271" t="s">
        <v>676</v>
      </c>
      <c r="P1003" s="2272" t="s">
        <v>676</v>
      </c>
      <c r="Q1003" s="2270" t="s">
        <v>2769</v>
      </c>
      <c r="R1003" s="2270">
        <v>0</v>
      </c>
      <c r="S1003" s="2271" t="s">
        <v>676</v>
      </c>
      <c r="T1003" s="2271" t="s">
        <v>676</v>
      </c>
      <c r="U1003" s="2271" t="s">
        <v>676</v>
      </c>
      <c r="V1003" s="2271" t="s">
        <v>676</v>
      </c>
    </row>
    <row r="1004" spans="3:22" ht="15">
      <c r="C1004" s="2265"/>
      <c r="D1004" s="2271" t="s">
        <v>676</v>
      </c>
      <c r="E1004" s="2891" t="s">
        <v>676</v>
      </c>
      <c r="F1004" s="2889"/>
      <c r="G1004" s="2889"/>
      <c r="H1004" s="2890"/>
      <c r="I1004" s="2892" t="s">
        <v>676</v>
      </c>
      <c r="J1004" s="2889"/>
      <c r="K1004" s="2888" t="s">
        <v>676</v>
      </c>
      <c r="L1004" s="2890"/>
      <c r="M1004" s="2271" t="s">
        <v>676</v>
      </c>
      <c r="N1004" s="2271" t="s">
        <v>676</v>
      </c>
      <c r="O1004" s="2271" t="s">
        <v>676</v>
      </c>
      <c r="P1004" s="2272" t="s">
        <v>676</v>
      </c>
      <c r="Q1004" s="2270" t="s">
        <v>2770</v>
      </c>
      <c r="R1004" s="2270">
        <v>0</v>
      </c>
      <c r="S1004" s="2271" t="s">
        <v>676</v>
      </c>
      <c r="T1004" s="2271" t="s">
        <v>676</v>
      </c>
      <c r="U1004" s="2271" t="s">
        <v>676</v>
      </c>
      <c r="V1004" s="2271" t="s">
        <v>676</v>
      </c>
    </row>
    <row r="1005" spans="3:22" ht="45">
      <c r="C1005" s="2265"/>
      <c r="D1005" s="2268">
        <v>13</v>
      </c>
      <c r="E1005" s="2882" t="s">
        <v>3053</v>
      </c>
      <c r="F1005" s="2883"/>
      <c r="G1005" s="2883"/>
      <c r="H1005" s="2884"/>
      <c r="I1005" s="2882" t="s">
        <v>3054</v>
      </c>
      <c r="J1005" s="2884"/>
      <c r="K1005" s="2882" t="s">
        <v>2762</v>
      </c>
      <c r="L1005" s="2884"/>
      <c r="M1005" s="2268" t="s">
        <v>2763</v>
      </c>
      <c r="N1005" s="2268" t="s">
        <v>2775</v>
      </c>
      <c r="O1005" s="2268" t="s">
        <v>2765</v>
      </c>
      <c r="P1005" s="2269">
        <v>100000</v>
      </c>
      <c r="Q1005" s="2270" t="s">
        <v>2766</v>
      </c>
      <c r="R1005" s="2270">
        <v>100000</v>
      </c>
      <c r="S1005" s="2268"/>
      <c r="T1005" s="2268" t="s">
        <v>2767</v>
      </c>
      <c r="U1005" s="2268" t="s">
        <v>2768</v>
      </c>
      <c r="V1005" s="2268"/>
    </row>
    <row r="1006" spans="3:22" ht="15">
      <c r="C1006" s="2265"/>
      <c r="D1006" s="2271" t="s">
        <v>676</v>
      </c>
      <c r="E1006" s="2888" t="s">
        <v>676</v>
      </c>
      <c r="F1006" s="2889"/>
      <c r="G1006" s="2889"/>
      <c r="H1006" s="2890"/>
      <c r="I1006" s="2888" t="s">
        <v>676</v>
      </c>
      <c r="J1006" s="2890"/>
      <c r="K1006" s="2888" t="s">
        <v>676</v>
      </c>
      <c r="L1006" s="2890"/>
      <c r="M1006" s="2271" t="s">
        <v>676</v>
      </c>
      <c r="N1006" s="2271" t="s">
        <v>676</v>
      </c>
      <c r="O1006" s="2271" t="s">
        <v>676</v>
      </c>
      <c r="P1006" s="2272" t="s">
        <v>676</v>
      </c>
      <c r="Q1006" s="2270" t="s">
        <v>2769</v>
      </c>
      <c r="R1006" s="2270">
        <v>0</v>
      </c>
      <c r="S1006" s="2271" t="s">
        <v>676</v>
      </c>
      <c r="T1006" s="2271" t="s">
        <v>676</v>
      </c>
      <c r="U1006" s="2271" t="s">
        <v>676</v>
      </c>
      <c r="V1006" s="2271" t="s">
        <v>676</v>
      </c>
    </row>
    <row r="1007" spans="3:22" ht="15">
      <c r="C1007" s="2265"/>
      <c r="D1007" s="2271" t="s">
        <v>676</v>
      </c>
      <c r="E1007" s="2891" t="s">
        <v>676</v>
      </c>
      <c r="F1007" s="2889"/>
      <c r="G1007" s="2889"/>
      <c r="H1007" s="2890"/>
      <c r="I1007" s="2892" t="s">
        <v>676</v>
      </c>
      <c r="J1007" s="2889"/>
      <c r="K1007" s="2888" t="s">
        <v>676</v>
      </c>
      <c r="L1007" s="2890"/>
      <c r="M1007" s="2271" t="s">
        <v>676</v>
      </c>
      <c r="N1007" s="2271" t="s">
        <v>676</v>
      </c>
      <c r="O1007" s="2271" t="s">
        <v>676</v>
      </c>
      <c r="P1007" s="2272" t="s">
        <v>676</v>
      </c>
      <c r="Q1007" s="2270" t="s">
        <v>2770</v>
      </c>
      <c r="R1007" s="2270">
        <v>0</v>
      </c>
      <c r="S1007" s="2271" t="s">
        <v>676</v>
      </c>
      <c r="T1007" s="2271" t="s">
        <v>676</v>
      </c>
      <c r="U1007" s="2271" t="s">
        <v>676</v>
      </c>
      <c r="V1007" s="2271" t="s">
        <v>676</v>
      </c>
    </row>
    <row r="1008" spans="3:22" ht="45">
      <c r="C1008" s="2265"/>
      <c r="D1008" s="2268">
        <v>14</v>
      </c>
      <c r="E1008" s="2882" t="s">
        <v>3055</v>
      </c>
      <c r="F1008" s="2883"/>
      <c r="G1008" s="2883"/>
      <c r="H1008" s="2884"/>
      <c r="I1008" s="2882" t="s">
        <v>727</v>
      </c>
      <c r="J1008" s="2884"/>
      <c r="K1008" s="2882" t="s">
        <v>2762</v>
      </c>
      <c r="L1008" s="2884"/>
      <c r="M1008" s="2268" t="s">
        <v>2763</v>
      </c>
      <c r="N1008" s="2268" t="s">
        <v>2764</v>
      </c>
      <c r="O1008" s="2268" t="s">
        <v>2776</v>
      </c>
      <c r="P1008" s="2269">
        <v>400000</v>
      </c>
      <c r="Q1008" s="2270" t="s">
        <v>2766</v>
      </c>
      <c r="R1008" s="2270">
        <v>400000</v>
      </c>
      <c r="S1008" s="2268" t="s">
        <v>688</v>
      </c>
      <c r="T1008" s="2268" t="s">
        <v>2767</v>
      </c>
      <c r="U1008" s="2268" t="s">
        <v>2768</v>
      </c>
      <c r="V1008" s="2268"/>
    </row>
    <row r="1009" spans="3:22" ht="15">
      <c r="C1009" s="2265"/>
      <c r="D1009" s="2271" t="s">
        <v>676</v>
      </c>
      <c r="E1009" s="2888" t="s">
        <v>676</v>
      </c>
      <c r="F1009" s="2889"/>
      <c r="G1009" s="2889"/>
      <c r="H1009" s="2890"/>
      <c r="I1009" s="2888" t="s">
        <v>676</v>
      </c>
      <c r="J1009" s="2890"/>
      <c r="K1009" s="2888" t="s">
        <v>676</v>
      </c>
      <c r="L1009" s="2890"/>
      <c r="M1009" s="2271" t="s">
        <v>676</v>
      </c>
      <c r="N1009" s="2271" t="s">
        <v>676</v>
      </c>
      <c r="O1009" s="2271" t="s">
        <v>676</v>
      </c>
      <c r="P1009" s="2272" t="s">
        <v>676</v>
      </c>
      <c r="Q1009" s="2270" t="s">
        <v>2769</v>
      </c>
      <c r="R1009" s="2270">
        <v>0</v>
      </c>
      <c r="S1009" s="2271" t="s">
        <v>676</v>
      </c>
      <c r="T1009" s="2271" t="s">
        <v>676</v>
      </c>
      <c r="U1009" s="2271" t="s">
        <v>676</v>
      </c>
      <c r="V1009" s="2271" t="s">
        <v>676</v>
      </c>
    </row>
    <row r="1010" spans="3:22" ht="15">
      <c r="C1010" s="2265"/>
      <c r="D1010" s="2273" t="s">
        <v>676</v>
      </c>
      <c r="E1010" s="2896" t="s">
        <v>676</v>
      </c>
      <c r="F1010" s="2942"/>
      <c r="G1010" s="2942"/>
      <c r="H1010" s="2943"/>
      <c r="I1010" s="2899" t="s">
        <v>676</v>
      </c>
      <c r="J1010" s="2942"/>
      <c r="K1010" s="2900" t="s">
        <v>676</v>
      </c>
      <c r="L1010" s="2943"/>
      <c r="M1010" s="2273" t="s">
        <v>676</v>
      </c>
      <c r="N1010" s="2273" t="s">
        <v>676</v>
      </c>
      <c r="O1010" s="2273" t="s">
        <v>676</v>
      </c>
      <c r="P1010" s="2274" t="s">
        <v>676</v>
      </c>
      <c r="Q1010" s="2270" t="s">
        <v>2770</v>
      </c>
      <c r="R1010" s="2270">
        <v>0</v>
      </c>
      <c r="S1010" s="2273" t="s">
        <v>676</v>
      </c>
      <c r="T1010" s="2273" t="s">
        <v>676</v>
      </c>
      <c r="U1010" s="2273" t="s">
        <v>676</v>
      </c>
      <c r="V1010" s="2273" t="s">
        <v>676</v>
      </c>
    </row>
    <row r="1011" spans="3:22" ht="15">
      <c r="C1011" s="2368"/>
      <c r="D1011" s="2369" t="s">
        <v>82</v>
      </c>
      <c r="E1011" s="2370"/>
      <c r="F1011" s="2371"/>
      <c r="G1011" s="2371"/>
      <c r="H1011" s="2372"/>
      <c r="I1011" s="2372"/>
      <c r="J1011" s="2373"/>
      <c r="K1011" s="2373"/>
      <c r="L1011" s="2373"/>
      <c r="M1011" s="2372"/>
      <c r="N1011" s="2372"/>
      <c r="O1011" s="2372"/>
      <c r="P1011" s="2373">
        <f>SUM(P969:P1010)</f>
        <v>3225000</v>
      </c>
      <c r="Q1011" s="2374"/>
      <c r="R1011" s="2374">
        <f>SUM(R969:R1010)</f>
        <v>3225000</v>
      </c>
      <c r="S1011" s="2375"/>
      <c r="T1011" s="2375"/>
      <c r="U1011" s="2375"/>
      <c r="V1011" s="2376"/>
    </row>
    <row r="1012" spans="3:22" ht="20.25">
      <c r="C1012" s="2377"/>
      <c r="D1012" s="2378"/>
      <c r="E1012" s="2379"/>
      <c r="F1012" s="2379"/>
      <c r="G1012" s="2380"/>
      <c r="H1012" s="2377"/>
      <c r="I1012" s="2377"/>
      <c r="J1012" s="2377"/>
      <c r="K1012" s="2377"/>
      <c r="L1012" s="2381"/>
      <c r="M1012" s="2381"/>
      <c r="N1012" s="2381"/>
      <c r="O1012" s="2381"/>
      <c r="P1012" s="2381"/>
      <c r="Q1012" s="2284" t="s">
        <v>2789</v>
      </c>
      <c r="R1012" s="2381"/>
      <c r="S1012" s="2381"/>
      <c r="T1012" s="2381"/>
      <c r="U1012" s="2381"/>
      <c r="V1012" s="2382"/>
    </row>
    <row r="1013" spans="3:22" ht="20.25">
      <c r="C1013" s="2381"/>
      <c r="D1013" s="2381"/>
      <c r="E1013" s="2383"/>
      <c r="F1013" s="2383"/>
      <c r="G1013" s="2383"/>
      <c r="H1013" s="2381"/>
      <c r="I1013" s="2381"/>
      <c r="J1013" s="2381"/>
      <c r="K1013" s="2381"/>
      <c r="L1013" s="2381"/>
      <c r="M1013" s="2381"/>
      <c r="N1013" s="2381"/>
      <c r="O1013" s="2381"/>
      <c r="P1013" s="2381"/>
      <c r="Q1013" s="2284" t="s">
        <v>2790</v>
      </c>
      <c r="R1013" s="2381"/>
      <c r="S1013" s="2381"/>
      <c r="T1013" s="2381"/>
      <c r="U1013" s="2381"/>
      <c r="V1013" s="2382"/>
    </row>
    <row r="1014" spans="3:22" ht="20.25">
      <c r="C1014" s="2938" t="s">
        <v>2749</v>
      </c>
      <c r="D1014" s="2939"/>
      <c r="E1014" s="2939"/>
      <c r="F1014" s="2939"/>
      <c r="G1014" s="2939"/>
      <c r="H1014" s="2939"/>
      <c r="I1014" s="2939"/>
      <c r="J1014" s="2265"/>
      <c r="K1014" s="2265"/>
      <c r="L1014" s="2265"/>
      <c r="M1014" s="2265"/>
      <c r="N1014" s="2265"/>
      <c r="O1014" s="2265"/>
      <c r="P1014" s="2307"/>
      <c r="Q1014" s="2307"/>
      <c r="R1014" s="2307"/>
      <c r="S1014" s="2265"/>
      <c r="T1014" s="2265"/>
      <c r="U1014" s="2265"/>
      <c r="V1014" s="2265"/>
    </row>
    <row r="1015" spans="3:22" ht="15">
      <c r="C1015" s="2265"/>
      <c r="D1015" s="2265"/>
      <c r="E1015" s="2366"/>
      <c r="F1015" s="2366"/>
      <c r="G1015" s="2366"/>
      <c r="H1015" s="2265"/>
      <c r="I1015" s="2265"/>
      <c r="J1015" s="2265"/>
      <c r="K1015" s="2265"/>
      <c r="L1015" s="2265"/>
      <c r="M1015" s="2265"/>
      <c r="N1015" s="2265"/>
      <c r="O1015" s="2265"/>
      <c r="P1015" s="2307"/>
      <c r="Q1015" s="2307"/>
      <c r="R1015" s="2307"/>
      <c r="S1015" s="2265"/>
      <c r="T1015" s="2265"/>
      <c r="U1015" s="2265"/>
      <c r="V1015" s="2265"/>
    </row>
    <row r="1016" spans="3:22" ht="15">
      <c r="C1016" s="2940" t="s">
        <v>653</v>
      </c>
      <c r="D1016" s="2889"/>
      <c r="E1016" s="2889"/>
      <c r="F1016" s="2366"/>
      <c r="G1016" s="2384">
        <v>2020</v>
      </c>
      <c r="H1016" s="2265"/>
      <c r="I1016" s="2265"/>
      <c r="J1016" s="2265"/>
      <c r="K1016" s="2265"/>
      <c r="L1016" s="2265"/>
      <c r="M1016" s="2265"/>
      <c r="N1016" s="2265"/>
      <c r="O1016" s="2265"/>
      <c r="P1016" s="2307"/>
      <c r="Q1016" s="2307"/>
      <c r="R1016" s="2307"/>
      <c r="S1016" s="2265"/>
      <c r="T1016" s="2265"/>
      <c r="U1016" s="2265"/>
      <c r="V1016" s="2265"/>
    </row>
    <row r="1017" spans="3:22" ht="15">
      <c r="C1017" s="2265"/>
      <c r="D1017" s="2265"/>
      <c r="E1017" s="2366"/>
      <c r="F1017" s="2366"/>
      <c r="G1017" s="2366"/>
      <c r="H1017" s="2265"/>
      <c r="I1017" s="2265"/>
      <c r="J1017" s="2265"/>
      <c r="K1017" s="2265"/>
      <c r="L1017" s="2265"/>
      <c r="M1017" s="2265"/>
      <c r="N1017" s="2265"/>
      <c r="O1017" s="2265"/>
      <c r="P1017" s="2307"/>
      <c r="Q1017" s="2307"/>
      <c r="R1017" s="2307"/>
      <c r="S1017" s="2265"/>
      <c r="T1017" s="2265"/>
      <c r="U1017" s="2265"/>
      <c r="V1017" s="2265"/>
    </row>
    <row r="1018" spans="3:22" ht="15">
      <c r="C1018" s="2940" t="s">
        <v>655</v>
      </c>
      <c r="D1018" s="2889"/>
      <c r="E1018" s="2889"/>
      <c r="F1018" s="2366"/>
      <c r="G1018" s="2941" t="s">
        <v>3056</v>
      </c>
      <c r="H1018" s="2889"/>
      <c r="I1018" s="2889"/>
      <c r="J1018" s="2889"/>
      <c r="K1018" s="2889"/>
      <c r="L1018" s="2265"/>
      <c r="M1018" s="2265"/>
      <c r="N1018" s="2265"/>
      <c r="O1018" s="2265"/>
      <c r="P1018" s="2307"/>
      <c r="Q1018" s="2307"/>
      <c r="R1018" s="2307"/>
      <c r="S1018" s="2265"/>
      <c r="T1018" s="2265"/>
      <c r="U1018" s="2265"/>
      <c r="V1018" s="2265"/>
    </row>
    <row r="1019" spans="3:22" ht="15">
      <c r="C1019" s="2265"/>
      <c r="D1019" s="2265"/>
      <c r="E1019" s="2366"/>
      <c r="F1019" s="2366"/>
      <c r="G1019" s="2366"/>
      <c r="H1019" s="2265"/>
      <c r="I1019" s="2265"/>
      <c r="J1019" s="2265"/>
      <c r="K1019" s="2265"/>
      <c r="L1019" s="2265"/>
      <c r="M1019" s="2265"/>
      <c r="N1019" s="2265"/>
      <c r="O1019" s="2265"/>
      <c r="P1019" s="2307"/>
      <c r="Q1019" s="2307"/>
      <c r="R1019" s="2307"/>
      <c r="S1019" s="2265"/>
      <c r="T1019" s="2265"/>
      <c r="U1019" s="2265"/>
      <c r="V1019" s="2265"/>
    </row>
    <row r="1020" spans="3:22" ht="110.25">
      <c r="C1020" s="2265"/>
      <c r="D1020" s="2266" t="s">
        <v>657</v>
      </c>
      <c r="E1020" s="2893" t="s">
        <v>587</v>
      </c>
      <c r="F1020" s="2894"/>
      <c r="G1020" s="2894"/>
      <c r="H1020" s="2895"/>
      <c r="I1020" s="2893" t="s">
        <v>2751</v>
      </c>
      <c r="J1020" s="2895"/>
      <c r="K1020" s="2893" t="s">
        <v>2752</v>
      </c>
      <c r="L1020" s="2895"/>
      <c r="M1020" s="2266" t="s">
        <v>2753</v>
      </c>
      <c r="N1020" s="2266" t="s">
        <v>2754</v>
      </c>
      <c r="O1020" s="2266" t="s">
        <v>2755</v>
      </c>
      <c r="P1020" s="2267" t="s">
        <v>2756</v>
      </c>
      <c r="Q1020" s="2267" t="s">
        <v>2757</v>
      </c>
      <c r="R1020" s="2267" t="s">
        <v>2758</v>
      </c>
      <c r="S1020" s="2266" t="s">
        <v>623</v>
      </c>
      <c r="T1020" s="2266" t="s">
        <v>2759</v>
      </c>
      <c r="U1020" s="2266" t="s">
        <v>2760</v>
      </c>
      <c r="V1020" s="2266" t="s">
        <v>2761</v>
      </c>
    </row>
    <row r="1021" spans="3:22" ht="45">
      <c r="C1021" s="2265"/>
      <c r="D1021" s="2268">
        <v>1</v>
      </c>
      <c r="E1021" s="2385" t="s">
        <v>3057</v>
      </c>
      <c r="F1021" s="2386"/>
      <c r="G1021" s="2386"/>
      <c r="H1021" s="2387"/>
      <c r="I1021" s="2882" t="s">
        <v>3058</v>
      </c>
      <c r="J1021" s="2884"/>
      <c r="K1021" s="2882" t="s">
        <v>2762</v>
      </c>
      <c r="L1021" s="2884"/>
      <c r="M1021" s="2268" t="s">
        <v>2763</v>
      </c>
      <c r="N1021" s="2268" t="s">
        <v>2764</v>
      </c>
      <c r="O1021" s="2268" t="s">
        <v>2765</v>
      </c>
      <c r="P1021" s="2269">
        <v>98000</v>
      </c>
      <c r="Q1021" s="2270" t="s">
        <v>2766</v>
      </c>
      <c r="R1021" s="2270">
        <v>98000</v>
      </c>
      <c r="S1021" s="2268"/>
      <c r="T1021" s="2268" t="s">
        <v>2767</v>
      </c>
      <c r="U1021" s="2268" t="s">
        <v>2768</v>
      </c>
      <c r="V1021" s="2268"/>
    </row>
    <row r="1022" spans="3:22" ht="15">
      <c r="C1022" s="2265"/>
      <c r="D1022" s="2271" t="s">
        <v>676</v>
      </c>
      <c r="E1022" s="2388" t="s">
        <v>676</v>
      </c>
      <c r="F1022" s="2389"/>
      <c r="G1022" s="2389"/>
      <c r="H1022" s="2390"/>
      <c r="I1022" s="2888" t="s">
        <v>676</v>
      </c>
      <c r="J1022" s="2890"/>
      <c r="K1022" s="2888" t="s">
        <v>676</v>
      </c>
      <c r="L1022" s="2890"/>
      <c r="M1022" s="2271" t="s">
        <v>676</v>
      </c>
      <c r="N1022" s="2271" t="s">
        <v>676</v>
      </c>
      <c r="O1022" s="2271" t="s">
        <v>676</v>
      </c>
      <c r="P1022" s="2272" t="s">
        <v>676</v>
      </c>
      <c r="Q1022" s="2270" t="s">
        <v>2769</v>
      </c>
      <c r="R1022" s="2270">
        <v>0</v>
      </c>
      <c r="S1022" s="2271" t="s">
        <v>676</v>
      </c>
      <c r="T1022" s="2271" t="s">
        <v>676</v>
      </c>
      <c r="U1022" s="2271" t="s">
        <v>676</v>
      </c>
      <c r="V1022" s="2271" t="s">
        <v>676</v>
      </c>
    </row>
    <row r="1023" spans="3:22" ht="15">
      <c r="C1023" s="2265"/>
      <c r="D1023" s="2271" t="s">
        <v>676</v>
      </c>
      <c r="E1023" s="2391" t="s">
        <v>676</v>
      </c>
      <c r="F1023" s="2392"/>
      <c r="G1023" s="2392"/>
      <c r="H1023" s="2393"/>
      <c r="I1023" s="2892" t="s">
        <v>676</v>
      </c>
      <c r="J1023" s="2889"/>
      <c r="K1023" s="2888" t="s">
        <v>676</v>
      </c>
      <c r="L1023" s="2890"/>
      <c r="M1023" s="2271" t="s">
        <v>676</v>
      </c>
      <c r="N1023" s="2271" t="s">
        <v>676</v>
      </c>
      <c r="O1023" s="2271" t="s">
        <v>676</v>
      </c>
      <c r="P1023" s="2272" t="s">
        <v>676</v>
      </c>
      <c r="Q1023" s="2270" t="s">
        <v>2770</v>
      </c>
      <c r="R1023" s="2270">
        <v>0</v>
      </c>
      <c r="S1023" s="2271" t="s">
        <v>676</v>
      </c>
      <c r="T1023" s="2271" t="s">
        <v>676</v>
      </c>
      <c r="U1023" s="2271" t="s">
        <v>676</v>
      </c>
      <c r="V1023" s="2271" t="s">
        <v>676</v>
      </c>
    </row>
    <row r="1024" spans="3:22" ht="45">
      <c r="C1024" s="2265"/>
      <c r="D1024" s="2268">
        <v>2</v>
      </c>
      <c r="E1024" s="2385" t="s">
        <v>3059</v>
      </c>
      <c r="F1024" s="2386"/>
      <c r="G1024" s="2386"/>
      <c r="H1024" s="2387"/>
      <c r="I1024" s="2882" t="s">
        <v>3060</v>
      </c>
      <c r="J1024" s="2884"/>
      <c r="K1024" s="2882" t="s">
        <v>2762</v>
      </c>
      <c r="L1024" s="2884"/>
      <c r="M1024" s="2268" t="s">
        <v>2763</v>
      </c>
      <c r="N1024" s="2268" t="s">
        <v>2775</v>
      </c>
      <c r="O1024" s="2268" t="s">
        <v>2765</v>
      </c>
      <c r="P1024" s="2269">
        <v>98000</v>
      </c>
      <c r="Q1024" s="2270" t="s">
        <v>2766</v>
      </c>
      <c r="R1024" s="2270">
        <v>98000</v>
      </c>
      <c r="S1024" s="2268"/>
      <c r="T1024" s="2268" t="s">
        <v>2767</v>
      </c>
      <c r="U1024" s="2268" t="s">
        <v>2768</v>
      </c>
      <c r="V1024" s="2268"/>
    </row>
    <row r="1025" spans="3:22" ht="15">
      <c r="C1025" s="2265"/>
      <c r="D1025" s="2271" t="s">
        <v>676</v>
      </c>
      <c r="E1025" s="2388" t="s">
        <v>676</v>
      </c>
      <c r="F1025" s="2389"/>
      <c r="G1025" s="2389"/>
      <c r="H1025" s="2390"/>
      <c r="I1025" s="2888" t="s">
        <v>676</v>
      </c>
      <c r="J1025" s="2890"/>
      <c r="K1025" s="2888" t="s">
        <v>676</v>
      </c>
      <c r="L1025" s="2890"/>
      <c r="M1025" s="2271" t="s">
        <v>676</v>
      </c>
      <c r="N1025" s="2271" t="s">
        <v>676</v>
      </c>
      <c r="O1025" s="2271" t="s">
        <v>676</v>
      </c>
      <c r="P1025" s="2272" t="s">
        <v>676</v>
      </c>
      <c r="Q1025" s="2270" t="s">
        <v>2769</v>
      </c>
      <c r="R1025" s="2270">
        <v>0</v>
      </c>
      <c r="S1025" s="2271" t="s">
        <v>676</v>
      </c>
      <c r="T1025" s="2271" t="s">
        <v>676</v>
      </c>
      <c r="U1025" s="2271" t="s">
        <v>676</v>
      </c>
      <c r="V1025" s="2271" t="s">
        <v>676</v>
      </c>
    </row>
    <row r="1026" spans="3:22" ht="15">
      <c r="C1026" s="2265"/>
      <c r="D1026" s="2271" t="s">
        <v>676</v>
      </c>
      <c r="E1026" s="2391" t="s">
        <v>676</v>
      </c>
      <c r="F1026" s="2392"/>
      <c r="G1026" s="2392"/>
      <c r="H1026" s="2393"/>
      <c r="I1026" s="2892" t="s">
        <v>676</v>
      </c>
      <c r="J1026" s="2889"/>
      <c r="K1026" s="2888" t="s">
        <v>676</v>
      </c>
      <c r="L1026" s="2890"/>
      <c r="M1026" s="2271" t="s">
        <v>676</v>
      </c>
      <c r="N1026" s="2271" t="s">
        <v>676</v>
      </c>
      <c r="O1026" s="2271" t="s">
        <v>676</v>
      </c>
      <c r="P1026" s="2272" t="s">
        <v>676</v>
      </c>
      <c r="Q1026" s="2270" t="s">
        <v>2770</v>
      </c>
      <c r="R1026" s="2270">
        <v>0</v>
      </c>
      <c r="S1026" s="2271" t="s">
        <v>676</v>
      </c>
      <c r="T1026" s="2271" t="s">
        <v>676</v>
      </c>
      <c r="U1026" s="2271" t="s">
        <v>676</v>
      </c>
      <c r="V1026" s="2271" t="s">
        <v>676</v>
      </c>
    </row>
    <row r="1027" spans="3:22" ht="45">
      <c r="C1027" s="2265"/>
      <c r="D1027" s="2268">
        <v>3</v>
      </c>
      <c r="E1027" s="2385" t="s">
        <v>3061</v>
      </c>
      <c r="F1027" s="2386"/>
      <c r="G1027" s="2386"/>
      <c r="H1027" s="2387"/>
      <c r="I1027" s="2882" t="s">
        <v>1930</v>
      </c>
      <c r="J1027" s="2884"/>
      <c r="K1027" s="2882" t="s">
        <v>2762</v>
      </c>
      <c r="L1027" s="2884"/>
      <c r="M1027" s="2268" t="s">
        <v>2763</v>
      </c>
      <c r="N1027" s="2268" t="s">
        <v>2764</v>
      </c>
      <c r="O1027" s="2268" t="s">
        <v>2765</v>
      </c>
      <c r="P1027" s="2269">
        <v>100000</v>
      </c>
      <c r="Q1027" s="2270" t="s">
        <v>2766</v>
      </c>
      <c r="R1027" s="2270">
        <v>100000</v>
      </c>
      <c r="S1027" s="2268"/>
      <c r="T1027" s="2268" t="s">
        <v>2767</v>
      </c>
      <c r="U1027" s="2268" t="s">
        <v>2835</v>
      </c>
      <c r="V1027" s="2268"/>
    </row>
    <row r="1028" spans="3:22" ht="15">
      <c r="C1028" s="2265"/>
      <c r="D1028" s="2271" t="s">
        <v>676</v>
      </c>
      <c r="E1028" s="2388" t="s">
        <v>676</v>
      </c>
      <c r="F1028" s="2389"/>
      <c r="G1028" s="2389"/>
      <c r="H1028" s="2390"/>
      <c r="I1028" s="2888" t="s">
        <v>676</v>
      </c>
      <c r="J1028" s="2890"/>
      <c r="K1028" s="2888" t="s">
        <v>676</v>
      </c>
      <c r="L1028" s="2890"/>
      <c r="M1028" s="2271" t="s">
        <v>676</v>
      </c>
      <c r="N1028" s="2271" t="s">
        <v>676</v>
      </c>
      <c r="O1028" s="2271" t="s">
        <v>676</v>
      </c>
      <c r="P1028" s="2272" t="s">
        <v>676</v>
      </c>
      <c r="Q1028" s="2270" t="s">
        <v>2769</v>
      </c>
      <c r="R1028" s="2270">
        <v>0</v>
      </c>
      <c r="S1028" s="2271" t="s">
        <v>676</v>
      </c>
      <c r="T1028" s="2271" t="s">
        <v>676</v>
      </c>
      <c r="U1028" s="2271" t="s">
        <v>676</v>
      </c>
      <c r="V1028" s="2271" t="s">
        <v>676</v>
      </c>
    </row>
    <row r="1029" spans="3:22" ht="15">
      <c r="C1029" s="2265"/>
      <c r="D1029" s="2271" t="s">
        <v>676</v>
      </c>
      <c r="E1029" s="2391" t="s">
        <v>676</v>
      </c>
      <c r="F1029" s="2392"/>
      <c r="G1029" s="2392"/>
      <c r="H1029" s="2393"/>
      <c r="I1029" s="2892" t="s">
        <v>676</v>
      </c>
      <c r="J1029" s="2889"/>
      <c r="K1029" s="2888" t="s">
        <v>676</v>
      </c>
      <c r="L1029" s="2890"/>
      <c r="M1029" s="2271" t="s">
        <v>676</v>
      </c>
      <c r="N1029" s="2271" t="s">
        <v>676</v>
      </c>
      <c r="O1029" s="2271" t="s">
        <v>676</v>
      </c>
      <c r="P1029" s="2272" t="s">
        <v>676</v>
      </c>
      <c r="Q1029" s="2270" t="s">
        <v>2770</v>
      </c>
      <c r="R1029" s="2270">
        <v>0</v>
      </c>
      <c r="S1029" s="2271" t="s">
        <v>676</v>
      </c>
      <c r="T1029" s="2271" t="s">
        <v>676</v>
      </c>
      <c r="U1029" s="2271" t="s">
        <v>676</v>
      </c>
      <c r="V1029" s="2271" t="s">
        <v>676</v>
      </c>
    </row>
    <row r="1030" spans="3:22" ht="45">
      <c r="C1030" s="2265"/>
      <c r="D1030" s="2268">
        <v>4</v>
      </c>
      <c r="E1030" s="2385" t="s">
        <v>3062</v>
      </c>
      <c r="F1030" s="2386"/>
      <c r="G1030" s="2386"/>
      <c r="H1030" s="2387"/>
      <c r="I1030" s="2882" t="s">
        <v>1889</v>
      </c>
      <c r="J1030" s="2884"/>
      <c r="K1030" s="2882" t="s">
        <v>2762</v>
      </c>
      <c r="L1030" s="2884"/>
      <c r="M1030" s="2268" t="s">
        <v>2763</v>
      </c>
      <c r="N1030" s="2268" t="s">
        <v>2775</v>
      </c>
      <c r="O1030" s="2268" t="s">
        <v>2776</v>
      </c>
      <c r="P1030" s="2269">
        <v>350000</v>
      </c>
      <c r="Q1030" s="2270" t="s">
        <v>2766</v>
      </c>
      <c r="R1030" s="2270">
        <v>350000</v>
      </c>
      <c r="S1030" s="2268" t="s">
        <v>688</v>
      </c>
      <c r="T1030" s="2268" t="s">
        <v>2767</v>
      </c>
      <c r="U1030" s="2268" t="s">
        <v>2768</v>
      </c>
      <c r="V1030" s="2268"/>
    </row>
    <row r="1031" spans="3:22" ht="15">
      <c r="C1031" s="2265"/>
      <c r="D1031" s="2271" t="s">
        <v>676</v>
      </c>
      <c r="E1031" s="2388" t="s">
        <v>676</v>
      </c>
      <c r="F1031" s="2389"/>
      <c r="G1031" s="2389"/>
      <c r="H1031" s="2390"/>
      <c r="I1031" s="2888" t="s">
        <v>676</v>
      </c>
      <c r="J1031" s="2890"/>
      <c r="K1031" s="2888" t="s">
        <v>676</v>
      </c>
      <c r="L1031" s="2890"/>
      <c r="M1031" s="2271" t="s">
        <v>676</v>
      </c>
      <c r="N1031" s="2271" t="s">
        <v>676</v>
      </c>
      <c r="O1031" s="2271" t="s">
        <v>676</v>
      </c>
      <c r="P1031" s="2272" t="s">
        <v>676</v>
      </c>
      <c r="Q1031" s="2270" t="s">
        <v>2769</v>
      </c>
      <c r="R1031" s="2270">
        <v>0</v>
      </c>
      <c r="S1031" s="2271" t="s">
        <v>676</v>
      </c>
      <c r="T1031" s="2271" t="s">
        <v>676</v>
      </c>
      <c r="U1031" s="2271" t="s">
        <v>676</v>
      </c>
      <c r="V1031" s="2271" t="s">
        <v>676</v>
      </c>
    </row>
    <row r="1032" spans="3:22" ht="15">
      <c r="C1032" s="2265"/>
      <c r="D1032" s="2271" t="s">
        <v>676</v>
      </c>
      <c r="E1032" s="2391" t="s">
        <v>676</v>
      </c>
      <c r="F1032" s="2392"/>
      <c r="G1032" s="2392"/>
      <c r="H1032" s="2393"/>
      <c r="I1032" s="2892" t="s">
        <v>676</v>
      </c>
      <c r="J1032" s="2889"/>
      <c r="K1032" s="2888" t="s">
        <v>676</v>
      </c>
      <c r="L1032" s="2890"/>
      <c r="M1032" s="2271" t="s">
        <v>676</v>
      </c>
      <c r="N1032" s="2271" t="s">
        <v>676</v>
      </c>
      <c r="O1032" s="2271" t="s">
        <v>676</v>
      </c>
      <c r="P1032" s="2272" t="s">
        <v>676</v>
      </c>
      <c r="Q1032" s="2270" t="s">
        <v>2770</v>
      </c>
      <c r="R1032" s="2270">
        <v>0</v>
      </c>
      <c r="S1032" s="2271" t="s">
        <v>676</v>
      </c>
      <c r="T1032" s="2271" t="s">
        <v>676</v>
      </c>
      <c r="U1032" s="2271" t="s">
        <v>676</v>
      </c>
      <c r="V1032" s="2271" t="s">
        <v>676</v>
      </c>
    </row>
    <row r="1033" spans="3:22" ht="45">
      <c r="C1033" s="2265"/>
      <c r="D1033" s="2268">
        <v>5</v>
      </c>
      <c r="E1033" s="2385" t="s">
        <v>3063</v>
      </c>
      <c r="F1033" s="2394"/>
      <c r="G1033" s="2394"/>
      <c r="H1033" s="2395"/>
      <c r="I1033" s="2882" t="s">
        <v>3064</v>
      </c>
      <c r="J1033" s="2884"/>
      <c r="K1033" s="2882" t="s">
        <v>2762</v>
      </c>
      <c r="L1033" s="2884"/>
      <c r="M1033" s="2268" t="s">
        <v>2763</v>
      </c>
      <c r="N1033" s="2268" t="s">
        <v>2764</v>
      </c>
      <c r="O1033" s="2268" t="s">
        <v>2765</v>
      </c>
      <c r="P1033" s="2269">
        <v>100000</v>
      </c>
      <c r="Q1033" s="2270" t="s">
        <v>2766</v>
      </c>
      <c r="R1033" s="2270">
        <v>100000</v>
      </c>
      <c r="S1033" s="2268"/>
      <c r="T1033" s="2268" t="s">
        <v>2767</v>
      </c>
      <c r="U1033" s="2268" t="s">
        <v>2768</v>
      </c>
      <c r="V1033" s="2268"/>
    </row>
    <row r="1034" spans="3:22" ht="15">
      <c r="C1034" s="2265"/>
      <c r="D1034" s="2271" t="s">
        <v>676</v>
      </c>
      <c r="E1034" s="2388" t="s">
        <v>676</v>
      </c>
      <c r="F1034" s="2366"/>
      <c r="G1034" s="2366"/>
      <c r="H1034" s="2396"/>
      <c r="I1034" s="2888" t="s">
        <v>676</v>
      </c>
      <c r="J1034" s="2890"/>
      <c r="K1034" s="2888" t="s">
        <v>676</v>
      </c>
      <c r="L1034" s="2890"/>
      <c r="M1034" s="2271" t="s">
        <v>676</v>
      </c>
      <c r="N1034" s="2271" t="s">
        <v>676</v>
      </c>
      <c r="O1034" s="2271" t="s">
        <v>676</v>
      </c>
      <c r="P1034" s="2272" t="s">
        <v>676</v>
      </c>
      <c r="Q1034" s="2270" t="s">
        <v>2769</v>
      </c>
      <c r="R1034" s="2270">
        <v>0</v>
      </c>
      <c r="S1034" s="2271" t="s">
        <v>676</v>
      </c>
      <c r="T1034" s="2271" t="s">
        <v>676</v>
      </c>
      <c r="U1034" s="2271" t="s">
        <v>676</v>
      </c>
      <c r="V1034" s="2271" t="s">
        <v>676</v>
      </c>
    </row>
    <row r="1035" spans="3:22" ht="15">
      <c r="C1035" s="2265"/>
      <c r="D1035" s="2271" t="s">
        <v>676</v>
      </c>
      <c r="E1035" s="2391" t="s">
        <v>676</v>
      </c>
      <c r="F1035" s="2397"/>
      <c r="G1035" s="2397"/>
      <c r="H1035" s="2398"/>
      <c r="I1035" s="2892" t="s">
        <v>676</v>
      </c>
      <c r="J1035" s="2889"/>
      <c r="K1035" s="2888" t="s">
        <v>676</v>
      </c>
      <c r="L1035" s="2890"/>
      <c r="M1035" s="2271" t="s">
        <v>676</v>
      </c>
      <c r="N1035" s="2271" t="s">
        <v>676</v>
      </c>
      <c r="O1035" s="2271" t="s">
        <v>676</v>
      </c>
      <c r="P1035" s="2272" t="s">
        <v>676</v>
      </c>
      <c r="Q1035" s="2270" t="s">
        <v>2770</v>
      </c>
      <c r="R1035" s="2270">
        <v>0</v>
      </c>
      <c r="S1035" s="2271" t="s">
        <v>676</v>
      </c>
      <c r="T1035" s="2271" t="s">
        <v>676</v>
      </c>
      <c r="U1035" s="2271" t="s">
        <v>676</v>
      </c>
      <c r="V1035" s="2271" t="s">
        <v>676</v>
      </c>
    </row>
    <row r="1036" spans="3:22" ht="45">
      <c r="C1036" s="2265"/>
      <c r="D1036" s="2268">
        <v>6</v>
      </c>
      <c r="E1036" s="2385" t="s">
        <v>3065</v>
      </c>
      <c r="F1036" s="2394"/>
      <c r="G1036" s="2394"/>
      <c r="H1036" s="2395"/>
      <c r="I1036" s="2882" t="s">
        <v>1947</v>
      </c>
      <c r="J1036" s="2884"/>
      <c r="K1036" s="2882" t="s">
        <v>2762</v>
      </c>
      <c r="L1036" s="2884"/>
      <c r="M1036" s="2268" t="s">
        <v>2763</v>
      </c>
      <c r="N1036" s="2268" t="s">
        <v>2764</v>
      </c>
      <c r="O1036" s="2268" t="s">
        <v>2765</v>
      </c>
      <c r="P1036" s="2269">
        <v>50000</v>
      </c>
      <c r="Q1036" s="2270" t="s">
        <v>2766</v>
      </c>
      <c r="R1036" s="2270">
        <v>50000</v>
      </c>
      <c r="S1036" s="2268"/>
      <c r="T1036" s="2268" t="s">
        <v>2767</v>
      </c>
      <c r="U1036" s="2268" t="s">
        <v>2835</v>
      </c>
      <c r="V1036" s="2268"/>
    </row>
    <row r="1037" spans="3:22" ht="15">
      <c r="C1037" s="2265"/>
      <c r="D1037" s="2271" t="s">
        <v>676</v>
      </c>
      <c r="E1037" s="2388" t="s">
        <v>676</v>
      </c>
      <c r="F1037" s="2366"/>
      <c r="G1037" s="2366"/>
      <c r="H1037" s="2396"/>
      <c r="I1037" s="2888" t="s">
        <v>676</v>
      </c>
      <c r="J1037" s="2890"/>
      <c r="K1037" s="2888" t="s">
        <v>676</v>
      </c>
      <c r="L1037" s="2890"/>
      <c r="M1037" s="2271" t="s">
        <v>676</v>
      </c>
      <c r="N1037" s="2271" t="s">
        <v>676</v>
      </c>
      <c r="O1037" s="2271" t="s">
        <v>676</v>
      </c>
      <c r="P1037" s="2272" t="s">
        <v>676</v>
      </c>
      <c r="Q1037" s="2270" t="s">
        <v>2769</v>
      </c>
      <c r="R1037" s="2270">
        <v>0</v>
      </c>
      <c r="S1037" s="2271" t="s">
        <v>676</v>
      </c>
      <c r="T1037" s="2271" t="s">
        <v>676</v>
      </c>
      <c r="U1037" s="2271" t="s">
        <v>676</v>
      </c>
      <c r="V1037" s="2271" t="s">
        <v>676</v>
      </c>
    </row>
    <row r="1038" spans="3:22" ht="15">
      <c r="C1038" s="2265"/>
      <c r="D1038" s="2271" t="s">
        <v>676</v>
      </c>
      <c r="E1038" s="2391" t="s">
        <v>676</v>
      </c>
      <c r="F1038" s="2397"/>
      <c r="G1038" s="2397"/>
      <c r="H1038" s="2398"/>
      <c r="I1038" s="2892" t="s">
        <v>676</v>
      </c>
      <c r="J1038" s="2889"/>
      <c r="K1038" s="2888" t="s">
        <v>676</v>
      </c>
      <c r="L1038" s="2890"/>
      <c r="M1038" s="2271" t="s">
        <v>676</v>
      </c>
      <c r="N1038" s="2271" t="s">
        <v>676</v>
      </c>
      <c r="O1038" s="2271" t="s">
        <v>676</v>
      </c>
      <c r="P1038" s="2272" t="s">
        <v>676</v>
      </c>
      <c r="Q1038" s="2270" t="s">
        <v>2770</v>
      </c>
      <c r="R1038" s="2270">
        <v>0</v>
      </c>
      <c r="S1038" s="2271" t="s">
        <v>676</v>
      </c>
      <c r="T1038" s="2271" t="s">
        <v>676</v>
      </c>
      <c r="U1038" s="2271" t="s">
        <v>676</v>
      </c>
      <c r="V1038" s="2271" t="s">
        <v>676</v>
      </c>
    </row>
    <row r="1039" spans="3:22" ht="45">
      <c r="C1039" s="2265"/>
      <c r="D1039" s="2268">
        <v>7</v>
      </c>
      <c r="E1039" s="2385" t="s">
        <v>3066</v>
      </c>
      <c r="F1039" s="2394"/>
      <c r="G1039" s="2394"/>
      <c r="H1039" s="2395"/>
      <c r="I1039" s="2882" t="s">
        <v>1942</v>
      </c>
      <c r="J1039" s="2884"/>
      <c r="K1039" s="2882" t="s">
        <v>2762</v>
      </c>
      <c r="L1039" s="2884"/>
      <c r="M1039" s="2268" t="s">
        <v>2763</v>
      </c>
      <c r="N1039" s="2268" t="s">
        <v>2764</v>
      </c>
      <c r="O1039" s="2268" t="s">
        <v>2765</v>
      </c>
      <c r="P1039" s="2269">
        <v>45333</v>
      </c>
      <c r="Q1039" s="2270" t="s">
        <v>2766</v>
      </c>
      <c r="R1039" s="2270">
        <v>45333</v>
      </c>
      <c r="S1039" s="2268"/>
      <c r="T1039" s="2268" t="s">
        <v>2767</v>
      </c>
      <c r="U1039" s="2268" t="s">
        <v>2768</v>
      </c>
      <c r="V1039" s="2268"/>
    </row>
    <row r="1040" spans="3:22" ht="15">
      <c r="C1040" s="2265"/>
      <c r="D1040" s="2271" t="s">
        <v>676</v>
      </c>
      <c r="E1040" s="2388" t="s">
        <v>676</v>
      </c>
      <c r="F1040" s="2366"/>
      <c r="G1040" s="2366"/>
      <c r="H1040" s="2396"/>
      <c r="I1040" s="2888" t="s">
        <v>676</v>
      </c>
      <c r="J1040" s="2890"/>
      <c r="K1040" s="2888" t="s">
        <v>676</v>
      </c>
      <c r="L1040" s="2890"/>
      <c r="M1040" s="2271" t="s">
        <v>676</v>
      </c>
      <c r="N1040" s="2271" t="s">
        <v>676</v>
      </c>
      <c r="O1040" s="2271" t="s">
        <v>676</v>
      </c>
      <c r="P1040" s="2272" t="s">
        <v>676</v>
      </c>
      <c r="Q1040" s="2270" t="s">
        <v>2769</v>
      </c>
      <c r="R1040" s="2270">
        <v>0</v>
      </c>
      <c r="S1040" s="2271" t="s">
        <v>676</v>
      </c>
      <c r="T1040" s="2271" t="s">
        <v>676</v>
      </c>
      <c r="U1040" s="2271" t="s">
        <v>676</v>
      </c>
      <c r="V1040" s="2271" t="s">
        <v>676</v>
      </c>
    </row>
    <row r="1041" spans="3:22" ht="15">
      <c r="C1041" s="2265"/>
      <c r="D1041" s="2271" t="s">
        <v>676</v>
      </c>
      <c r="E1041" s="2391" t="s">
        <v>676</v>
      </c>
      <c r="F1041" s="2397"/>
      <c r="G1041" s="2397"/>
      <c r="H1041" s="2398"/>
      <c r="I1041" s="2892" t="s">
        <v>676</v>
      </c>
      <c r="J1041" s="2889"/>
      <c r="K1041" s="2888" t="s">
        <v>676</v>
      </c>
      <c r="L1041" s="2890"/>
      <c r="M1041" s="2271" t="s">
        <v>676</v>
      </c>
      <c r="N1041" s="2271" t="s">
        <v>676</v>
      </c>
      <c r="O1041" s="2271" t="s">
        <v>676</v>
      </c>
      <c r="P1041" s="2272" t="s">
        <v>676</v>
      </c>
      <c r="Q1041" s="2270" t="s">
        <v>2770</v>
      </c>
      <c r="R1041" s="2270">
        <v>0</v>
      </c>
      <c r="S1041" s="2271" t="s">
        <v>676</v>
      </c>
      <c r="T1041" s="2271" t="s">
        <v>676</v>
      </c>
      <c r="U1041" s="2271" t="s">
        <v>676</v>
      </c>
      <c r="V1041" s="2271" t="s">
        <v>676</v>
      </c>
    </row>
    <row r="1042" spans="3:22" ht="45">
      <c r="C1042" s="2265"/>
      <c r="D1042" s="2268">
        <v>8</v>
      </c>
      <c r="E1042" s="2385" t="s">
        <v>1895</v>
      </c>
      <c r="F1042" s="2394"/>
      <c r="G1042" s="2394"/>
      <c r="H1042" s="2395"/>
      <c r="I1042" s="2882" t="s">
        <v>1896</v>
      </c>
      <c r="J1042" s="2884"/>
      <c r="K1042" s="2882" t="s">
        <v>2762</v>
      </c>
      <c r="L1042" s="2884"/>
      <c r="M1042" s="2268" t="s">
        <v>2763</v>
      </c>
      <c r="N1042" s="2268" t="s">
        <v>2775</v>
      </c>
      <c r="O1042" s="2268" t="s">
        <v>2765</v>
      </c>
      <c r="P1042" s="2269">
        <v>85000</v>
      </c>
      <c r="Q1042" s="2270" t="s">
        <v>2766</v>
      </c>
      <c r="R1042" s="2270">
        <v>85000</v>
      </c>
      <c r="S1042" s="2268"/>
      <c r="T1042" s="2268" t="s">
        <v>2928</v>
      </c>
      <c r="U1042" s="2268" t="s">
        <v>2768</v>
      </c>
      <c r="V1042" s="2268"/>
    </row>
    <row r="1043" spans="3:22" ht="15">
      <c r="C1043" s="2265"/>
      <c r="D1043" s="2271" t="s">
        <v>676</v>
      </c>
      <c r="E1043" s="2388" t="s">
        <v>676</v>
      </c>
      <c r="F1043" s="2366"/>
      <c r="G1043" s="2366"/>
      <c r="H1043" s="2396"/>
      <c r="I1043" s="2888" t="s">
        <v>676</v>
      </c>
      <c r="J1043" s="2890"/>
      <c r="K1043" s="2888" t="s">
        <v>676</v>
      </c>
      <c r="L1043" s="2890"/>
      <c r="M1043" s="2271" t="s">
        <v>676</v>
      </c>
      <c r="N1043" s="2271" t="s">
        <v>676</v>
      </c>
      <c r="O1043" s="2271" t="s">
        <v>676</v>
      </c>
      <c r="P1043" s="2272" t="s">
        <v>676</v>
      </c>
      <c r="Q1043" s="2270" t="s">
        <v>2769</v>
      </c>
      <c r="R1043" s="2270">
        <v>0</v>
      </c>
      <c r="S1043" s="2271" t="s">
        <v>676</v>
      </c>
      <c r="T1043" s="2271" t="s">
        <v>676</v>
      </c>
      <c r="U1043" s="2271" t="s">
        <v>676</v>
      </c>
      <c r="V1043" s="2271" t="s">
        <v>676</v>
      </c>
    </row>
    <row r="1044" spans="3:22" ht="15">
      <c r="C1044" s="2265"/>
      <c r="D1044" s="2271" t="s">
        <v>676</v>
      </c>
      <c r="E1044" s="2391" t="s">
        <v>676</v>
      </c>
      <c r="F1044" s="2397"/>
      <c r="G1044" s="2397"/>
      <c r="H1044" s="2398"/>
      <c r="I1044" s="2892" t="s">
        <v>676</v>
      </c>
      <c r="J1044" s="2889"/>
      <c r="K1044" s="2888" t="s">
        <v>676</v>
      </c>
      <c r="L1044" s="2890"/>
      <c r="M1044" s="2271" t="s">
        <v>676</v>
      </c>
      <c r="N1044" s="2271" t="s">
        <v>676</v>
      </c>
      <c r="O1044" s="2271" t="s">
        <v>676</v>
      </c>
      <c r="P1044" s="2272" t="s">
        <v>676</v>
      </c>
      <c r="Q1044" s="2270" t="s">
        <v>2770</v>
      </c>
      <c r="R1044" s="2270">
        <v>0</v>
      </c>
      <c r="S1044" s="2271" t="s">
        <v>676</v>
      </c>
      <c r="T1044" s="2271" t="s">
        <v>676</v>
      </c>
      <c r="U1044" s="2271" t="s">
        <v>676</v>
      </c>
      <c r="V1044" s="2271" t="s">
        <v>676</v>
      </c>
    </row>
    <row r="1045" spans="3:22" ht="45">
      <c r="C1045" s="2265"/>
      <c r="D1045" s="2268">
        <v>9</v>
      </c>
      <c r="E1045" s="2385" t="s">
        <v>3067</v>
      </c>
      <c r="F1045" s="2394"/>
      <c r="G1045" s="2394"/>
      <c r="H1045" s="2395"/>
      <c r="I1045" s="2882" t="s">
        <v>1787</v>
      </c>
      <c r="J1045" s="2884"/>
      <c r="K1045" s="2882" t="s">
        <v>2762</v>
      </c>
      <c r="L1045" s="2884"/>
      <c r="M1045" s="2268" t="s">
        <v>2763</v>
      </c>
      <c r="N1045" s="2268" t="s">
        <v>2764</v>
      </c>
      <c r="O1045" s="2268" t="s">
        <v>2765</v>
      </c>
      <c r="P1045" s="2269">
        <v>65000</v>
      </c>
      <c r="Q1045" s="2270" t="s">
        <v>2766</v>
      </c>
      <c r="R1045" s="2270">
        <v>65000</v>
      </c>
      <c r="S1045" s="2268"/>
      <c r="T1045" s="2268" t="s">
        <v>2767</v>
      </c>
      <c r="U1045" s="2268" t="s">
        <v>2768</v>
      </c>
      <c r="V1045" s="2268"/>
    </row>
    <row r="1046" spans="3:22" ht="15">
      <c r="C1046" s="2265"/>
      <c r="D1046" s="2271" t="s">
        <v>676</v>
      </c>
      <c r="E1046" s="2388" t="s">
        <v>676</v>
      </c>
      <c r="F1046" s="2366"/>
      <c r="G1046" s="2366"/>
      <c r="H1046" s="2396"/>
      <c r="I1046" s="2888" t="s">
        <v>676</v>
      </c>
      <c r="J1046" s="2890"/>
      <c r="K1046" s="2888" t="s">
        <v>676</v>
      </c>
      <c r="L1046" s="2890"/>
      <c r="M1046" s="2271" t="s">
        <v>676</v>
      </c>
      <c r="N1046" s="2271" t="s">
        <v>676</v>
      </c>
      <c r="O1046" s="2271" t="s">
        <v>676</v>
      </c>
      <c r="P1046" s="2272" t="s">
        <v>676</v>
      </c>
      <c r="Q1046" s="2270" t="s">
        <v>2769</v>
      </c>
      <c r="R1046" s="2270">
        <v>0</v>
      </c>
      <c r="S1046" s="2271" t="s">
        <v>676</v>
      </c>
      <c r="T1046" s="2271" t="s">
        <v>676</v>
      </c>
      <c r="U1046" s="2271" t="s">
        <v>676</v>
      </c>
      <c r="V1046" s="2271" t="s">
        <v>676</v>
      </c>
    </row>
    <row r="1047" spans="3:22" ht="15">
      <c r="C1047" s="2265"/>
      <c r="D1047" s="2271" t="s">
        <v>676</v>
      </c>
      <c r="E1047" s="2391" t="s">
        <v>676</v>
      </c>
      <c r="F1047" s="2397"/>
      <c r="G1047" s="2397"/>
      <c r="H1047" s="2398"/>
      <c r="I1047" s="2892" t="s">
        <v>676</v>
      </c>
      <c r="J1047" s="2889"/>
      <c r="K1047" s="2888" t="s">
        <v>676</v>
      </c>
      <c r="L1047" s="2890"/>
      <c r="M1047" s="2271" t="s">
        <v>676</v>
      </c>
      <c r="N1047" s="2271" t="s">
        <v>676</v>
      </c>
      <c r="O1047" s="2271" t="s">
        <v>676</v>
      </c>
      <c r="P1047" s="2272" t="s">
        <v>676</v>
      </c>
      <c r="Q1047" s="2270" t="s">
        <v>2770</v>
      </c>
      <c r="R1047" s="2270">
        <v>0</v>
      </c>
      <c r="S1047" s="2271" t="s">
        <v>676</v>
      </c>
      <c r="T1047" s="2271" t="s">
        <v>676</v>
      </c>
      <c r="U1047" s="2271" t="s">
        <v>676</v>
      </c>
      <c r="V1047" s="2271" t="s">
        <v>676</v>
      </c>
    </row>
    <row r="1048" spans="3:22" ht="45">
      <c r="C1048" s="2265"/>
      <c r="D1048" s="2268">
        <v>10</v>
      </c>
      <c r="E1048" s="2958" t="s">
        <v>3068</v>
      </c>
      <c r="F1048" s="2953"/>
      <c r="G1048" s="2953"/>
      <c r="H1048" s="2954"/>
      <c r="I1048" s="2882" t="s">
        <v>1971</v>
      </c>
      <c r="J1048" s="2884"/>
      <c r="K1048" s="2882" t="s">
        <v>2762</v>
      </c>
      <c r="L1048" s="2884"/>
      <c r="M1048" s="2268" t="s">
        <v>2763</v>
      </c>
      <c r="N1048" s="2268" t="s">
        <v>2764</v>
      </c>
      <c r="O1048" s="2268" t="s">
        <v>2776</v>
      </c>
      <c r="P1048" s="2269">
        <v>350000</v>
      </c>
      <c r="Q1048" s="2270" t="s">
        <v>2766</v>
      </c>
      <c r="R1048" s="2270">
        <v>350000</v>
      </c>
      <c r="S1048" s="2268" t="s">
        <v>688</v>
      </c>
      <c r="T1048" s="2268" t="s">
        <v>2767</v>
      </c>
      <c r="U1048" s="2268" t="s">
        <v>2768</v>
      </c>
      <c r="V1048" s="2268"/>
    </row>
    <row r="1049" spans="3:22" ht="15">
      <c r="C1049" s="2265"/>
      <c r="D1049" s="2271" t="s">
        <v>676</v>
      </c>
      <c r="E1049" s="2959" t="s">
        <v>676</v>
      </c>
      <c r="F1049" s="2956"/>
      <c r="G1049" s="2956"/>
      <c r="H1049" s="2957"/>
      <c r="I1049" s="2888" t="s">
        <v>676</v>
      </c>
      <c r="J1049" s="2890"/>
      <c r="K1049" s="2888" t="s">
        <v>676</v>
      </c>
      <c r="L1049" s="2890"/>
      <c r="M1049" s="2271" t="s">
        <v>676</v>
      </c>
      <c r="N1049" s="2271" t="s">
        <v>676</v>
      </c>
      <c r="O1049" s="2271" t="s">
        <v>676</v>
      </c>
      <c r="P1049" s="2272" t="s">
        <v>676</v>
      </c>
      <c r="Q1049" s="2270" t="s">
        <v>2769</v>
      </c>
      <c r="R1049" s="2270">
        <v>0</v>
      </c>
      <c r="S1049" s="2271" t="s">
        <v>676</v>
      </c>
      <c r="T1049" s="2271" t="s">
        <v>676</v>
      </c>
      <c r="U1049" s="2271" t="s">
        <v>676</v>
      </c>
      <c r="V1049" s="2271" t="s">
        <v>676</v>
      </c>
    </row>
    <row r="1050" spans="3:22" ht="15">
      <c r="C1050" s="2265"/>
      <c r="D1050" s="2271" t="s">
        <v>676</v>
      </c>
      <c r="E1050" s="2946" t="s">
        <v>676</v>
      </c>
      <c r="F1050" s="2947"/>
      <c r="G1050" s="2947"/>
      <c r="H1050" s="2948"/>
      <c r="I1050" s="2892" t="s">
        <v>676</v>
      </c>
      <c r="J1050" s="2889"/>
      <c r="K1050" s="2888" t="s">
        <v>676</v>
      </c>
      <c r="L1050" s="2890"/>
      <c r="M1050" s="2271" t="s">
        <v>676</v>
      </c>
      <c r="N1050" s="2271" t="s">
        <v>676</v>
      </c>
      <c r="O1050" s="2271" t="s">
        <v>676</v>
      </c>
      <c r="P1050" s="2272" t="s">
        <v>676</v>
      </c>
      <c r="Q1050" s="2270" t="s">
        <v>2770</v>
      </c>
      <c r="R1050" s="2270">
        <v>0</v>
      </c>
      <c r="S1050" s="2271" t="s">
        <v>676</v>
      </c>
      <c r="T1050" s="2271" t="s">
        <v>676</v>
      </c>
      <c r="U1050" s="2271" t="s">
        <v>676</v>
      </c>
      <c r="V1050" s="2271" t="s">
        <v>676</v>
      </c>
    </row>
    <row r="1051" spans="3:22" ht="45">
      <c r="C1051" s="2265"/>
      <c r="D1051" s="2268">
        <v>11</v>
      </c>
      <c r="E1051" s="2952" t="s">
        <v>3069</v>
      </c>
      <c r="F1051" s="2953"/>
      <c r="G1051" s="2953"/>
      <c r="H1051" s="2954"/>
      <c r="I1051" s="2882" t="s">
        <v>1504</v>
      </c>
      <c r="J1051" s="2884"/>
      <c r="K1051" s="2882" t="s">
        <v>2762</v>
      </c>
      <c r="L1051" s="2884"/>
      <c r="M1051" s="2268" t="s">
        <v>2763</v>
      </c>
      <c r="N1051" s="2268" t="s">
        <v>2764</v>
      </c>
      <c r="O1051" s="2268" t="s">
        <v>2765</v>
      </c>
      <c r="P1051" s="2269">
        <v>60000</v>
      </c>
      <c r="Q1051" s="2270" t="s">
        <v>2766</v>
      </c>
      <c r="R1051" s="2270">
        <v>60000</v>
      </c>
      <c r="S1051" s="2268"/>
      <c r="T1051" s="2268" t="s">
        <v>2767</v>
      </c>
      <c r="U1051" s="2268" t="s">
        <v>2768</v>
      </c>
      <c r="V1051" s="2268"/>
    </row>
    <row r="1052" spans="3:22" ht="15">
      <c r="C1052" s="2265"/>
      <c r="D1052" s="2271" t="s">
        <v>676</v>
      </c>
      <c r="E1052" s="2955" t="s">
        <v>676</v>
      </c>
      <c r="F1052" s="2956"/>
      <c r="G1052" s="2956"/>
      <c r="H1052" s="2957"/>
      <c r="I1052" s="2888" t="s">
        <v>676</v>
      </c>
      <c r="J1052" s="2890"/>
      <c r="K1052" s="2888" t="s">
        <v>676</v>
      </c>
      <c r="L1052" s="2890"/>
      <c r="M1052" s="2271" t="s">
        <v>676</v>
      </c>
      <c r="N1052" s="2271" t="s">
        <v>676</v>
      </c>
      <c r="O1052" s="2271" t="s">
        <v>676</v>
      </c>
      <c r="P1052" s="2272" t="s">
        <v>676</v>
      </c>
      <c r="Q1052" s="2270" t="s">
        <v>2769</v>
      </c>
      <c r="R1052" s="2270">
        <v>0</v>
      </c>
      <c r="S1052" s="2271" t="s">
        <v>676</v>
      </c>
      <c r="T1052" s="2271" t="s">
        <v>676</v>
      </c>
      <c r="U1052" s="2271" t="s">
        <v>676</v>
      </c>
      <c r="V1052" s="2271" t="s">
        <v>676</v>
      </c>
    </row>
    <row r="1053" spans="3:22" ht="15">
      <c r="C1053" s="2265"/>
      <c r="D1053" s="2271" t="s">
        <v>676</v>
      </c>
      <c r="E1053" s="2946" t="s">
        <v>676</v>
      </c>
      <c r="F1053" s="2947"/>
      <c r="G1053" s="2947"/>
      <c r="H1053" s="2948"/>
      <c r="I1053" s="2892" t="s">
        <v>676</v>
      </c>
      <c r="J1053" s="2889"/>
      <c r="K1053" s="2888" t="s">
        <v>676</v>
      </c>
      <c r="L1053" s="2890"/>
      <c r="M1053" s="2271" t="s">
        <v>676</v>
      </c>
      <c r="N1053" s="2271" t="s">
        <v>676</v>
      </c>
      <c r="O1053" s="2271" t="s">
        <v>676</v>
      </c>
      <c r="P1053" s="2272" t="s">
        <v>676</v>
      </c>
      <c r="Q1053" s="2270" t="s">
        <v>2770</v>
      </c>
      <c r="R1053" s="2270">
        <v>0</v>
      </c>
      <c r="S1053" s="2271" t="s">
        <v>676</v>
      </c>
      <c r="T1053" s="2271" t="s">
        <v>676</v>
      </c>
      <c r="U1053" s="2271" t="s">
        <v>676</v>
      </c>
      <c r="V1053" s="2271" t="s">
        <v>676</v>
      </c>
    </row>
    <row r="1054" spans="3:22" ht="45">
      <c r="C1054" s="2265"/>
      <c r="D1054" s="2268">
        <v>12</v>
      </c>
      <c r="E1054" s="2952" t="s">
        <v>3070</v>
      </c>
      <c r="F1054" s="2953"/>
      <c r="G1054" s="2953"/>
      <c r="H1054" s="2954"/>
      <c r="I1054" s="2882" t="s">
        <v>675</v>
      </c>
      <c r="J1054" s="2884"/>
      <c r="K1054" s="2882" t="s">
        <v>2762</v>
      </c>
      <c r="L1054" s="2884"/>
      <c r="M1054" s="2268" t="s">
        <v>2763</v>
      </c>
      <c r="N1054" s="2268" t="s">
        <v>2775</v>
      </c>
      <c r="O1054" s="2268" t="s">
        <v>2776</v>
      </c>
      <c r="P1054" s="2269">
        <v>125000</v>
      </c>
      <c r="Q1054" s="2270" t="s">
        <v>2766</v>
      </c>
      <c r="R1054" s="2270">
        <v>125000</v>
      </c>
      <c r="S1054" s="2268" t="s">
        <v>688</v>
      </c>
      <c r="T1054" s="2268" t="s">
        <v>2767</v>
      </c>
      <c r="U1054" s="2268" t="s">
        <v>2835</v>
      </c>
      <c r="V1054" s="2268"/>
    </row>
    <row r="1055" spans="3:22" ht="15">
      <c r="C1055" s="2265"/>
      <c r="D1055" s="2271" t="s">
        <v>676</v>
      </c>
      <c r="E1055" s="2955" t="s">
        <v>676</v>
      </c>
      <c r="F1055" s="2956"/>
      <c r="G1055" s="2956"/>
      <c r="H1055" s="2957"/>
      <c r="I1055" s="2888" t="s">
        <v>676</v>
      </c>
      <c r="J1055" s="2890"/>
      <c r="K1055" s="2888" t="s">
        <v>676</v>
      </c>
      <c r="L1055" s="2890"/>
      <c r="M1055" s="2271" t="s">
        <v>676</v>
      </c>
      <c r="N1055" s="2271" t="s">
        <v>676</v>
      </c>
      <c r="O1055" s="2271" t="s">
        <v>676</v>
      </c>
      <c r="P1055" s="2272" t="s">
        <v>676</v>
      </c>
      <c r="Q1055" s="2270" t="s">
        <v>2769</v>
      </c>
      <c r="R1055" s="2270">
        <v>0</v>
      </c>
      <c r="S1055" s="2271" t="s">
        <v>676</v>
      </c>
      <c r="T1055" s="2271" t="s">
        <v>676</v>
      </c>
      <c r="U1055" s="2271" t="s">
        <v>676</v>
      </c>
      <c r="V1055" s="2271" t="s">
        <v>676</v>
      </c>
    </row>
    <row r="1056" spans="3:22" ht="15">
      <c r="C1056" s="2265"/>
      <c r="D1056" s="2271" t="s">
        <v>676</v>
      </c>
      <c r="E1056" s="2946" t="s">
        <v>676</v>
      </c>
      <c r="F1056" s="2947"/>
      <c r="G1056" s="2947"/>
      <c r="H1056" s="2948"/>
      <c r="I1056" s="2892" t="s">
        <v>676</v>
      </c>
      <c r="J1056" s="2889"/>
      <c r="K1056" s="2888" t="s">
        <v>676</v>
      </c>
      <c r="L1056" s="2890"/>
      <c r="M1056" s="2271" t="s">
        <v>676</v>
      </c>
      <c r="N1056" s="2271" t="s">
        <v>676</v>
      </c>
      <c r="O1056" s="2271" t="s">
        <v>676</v>
      </c>
      <c r="P1056" s="2272" t="s">
        <v>676</v>
      </c>
      <c r="Q1056" s="2270" t="s">
        <v>2770</v>
      </c>
      <c r="R1056" s="2270">
        <v>0</v>
      </c>
      <c r="S1056" s="2271" t="s">
        <v>676</v>
      </c>
      <c r="T1056" s="2271" t="s">
        <v>676</v>
      </c>
      <c r="U1056" s="2271" t="s">
        <v>676</v>
      </c>
      <c r="V1056" s="2271" t="s">
        <v>676</v>
      </c>
    </row>
    <row r="1057" spans="3:22" ht="45">
      <c r="C1057" s="2265"/>
      <c r="D1057" s="2268">
        <v>13</v>
      </c>
      <c r="E1057" s="2952" t="s">
        <v>3071</v>
      </c>
      <c r="F1057" s="2953"/>
      <c r="G1057" s="2953"/>
      <c r="H1057" s="2954"/>
      <c r="I1057" s="2882" t="s">
        <v>3072</v>
      </c>
      <c r="J1057" s="2884"/>
      <c r="K1057" s="2882" t="s">
        <v>2762</v>
      </c>
      <c r="L1057" s="2884"/>
      <c r="M1057" s="2268" t="s">
        <v>2763</v>
      </c>
      <c r="N1057" s="2268" t="s">
        <v>2764</v>
      </c>
      <c r="O1057" s="2268" t="s">
        <v>2765</v>
      </c>
      <c r="P1057" s="2269">
        <v>95000</v>
      </c>
      <c r="Q1057" s="2270" t="s">
        <v>2766</v>
      </c>
      <c r="R1057" s="2270">
        <v>95000</v>
      </c>
      <c r="S1057" s="2268"/>
      <c r="T1057" s="2268" t="s">
        <v>2767</v>
      </c>
      <c r="U1057" s="2268" t="s">
        <v>2835</v>
      </c>
      <c r="V1057" s="2268"/>
    </row>
    <row r="1058" spans="3:22" ht="15">
      <c r="C1058" s="2265"/>
      <c r="D1058" s="2271" t="s">
        <v>676</v>
      </c>
      <c r="E1058" s="2955" t="s">
        <v>676</v>
      </c>
      <c r="F1058" s="2956"/>
      <c r="G1058" s="2956"/>
      <c r="H1058" s="2957"/>
      <c r="I1058" s="2888" t="s">
        <v>676</v>
      </c>
      <c r="J1058" s="2890"/>
      <c r="K1058" s="2888" t="s">
        <v>676</v>
      </c>
      <c r="L1058" s="2890"/>
      <c r="M1058" s="2271" t="s">
        <v>676</v>
      </c>
      <c r="N1058" s="2271" t="s">
        <v>676</v>
      </c>
      <c r="O1058" s="2271" t="s">
        <v>676</v>
      </c>
      <c r="P1058" s="2272" t="s">
        <v>676</v>
      </c>
      <c r="Q1058" s="2270" t="s">
        <v>2769</v>
      </c>
      <c r="R1058" s="2270">
        <v>0</v>
      </c>
      <c r="S1058" s="2271" t="s">
        <v>676</v>
      </c>
      <c r="T1058" s="2271" t="s">
        <v>676</v>
      </c>
      <c r="U1058" s="2271" t="s">
        <v>676</v>
      </c>
      <c r="V1058" s="2271" t="s">
        <v>676</v>
      </c>
    </row>
    <row r="1059" spans="3:22" ht="15">
      <c r="C1059" s="2265"/>
      <c r="D1059" s="2271" t="s">
        <v>676</v>
      </c>
      <c r="E1059" s="2946" t="s">
        <v>676</v>
      </c>
      <c r="F1059" s="2947"/>
      <c r="G1059" s="2947"/>
      <c r="H1059" s="2948"/>
      <c r="I1059" s="2892" t="s">
        <v>676</v>
      </c>
      <c r="J1059" s="2889"/>
      <c r="K1059" s="2888" t="s">
        <v>676</v>
      </c>
      <c r="L1059" s="2890"/>
      <c r="M1059" s="2271" t="s">
        <v>676</v>
      </c>
      <c r="N1059" s="2271" t="s">
        <v>676</v>
      </c>
      <c r="O1059" s="2271" t="s">
        <v>676</v>
      </c>
      <c r="P1059" s="2272" t="s">
        <v>676</v>
      </c>
      <c r="Q1059" s="2270" t="s">
        <v>2770</v>
      </c>
      <c r="R1059" s="2270">
        <v>0</v>
      </c>
      <c r="S1059" s="2271" t="s">
        <v>676</v>
      </c>
      <c r="T1059" s="2271" t="s">
        <v>676</v>
      </c>
      <c r="U1059" s="2271" t="s">
        <v>676</v>
      </c>
      <c r="V1059" s="2271" t="s">
        <v>676</v>
      </c>
    </row>
    <row r="1060" spans="3:22" ht="45">
      <c r="C1060" s="2265"/>
      <c r="D1060" s="2268">
        <v>14</v>
      </c>
      <c r="E1060" s="2952" t="s">
        <v>2875</v>
      </c>
      <c r="F1060" s="2953"/>
      <c r="G1060" s="2953"/>
      <c r="H1060" s="2954"/>
      <c r="I1060" s="2882" t="s">
        <v>3073</v>
      </c>
      <c r="J1060" s="2884"/>
      <c r="K1060" s="2882" t="s">
        <v>2762</v>
      </c>
      <c r="L1060" s="2884"/>
      <c r="M1060" s="2268" t="s">
        <v>2763</v>
      </c>
      <c r="N1060" s="2268" t="s">
        <v>2775</v>
      </c>
      <c r="O1060" s="2268" t="s">
        <v>2765</v>
      </c>
      <c r="P1060" s="2269">
        <v>100000</v>
      </c>
      <c r="Q1060" s="2270" t="s">
        <v>2766</v>
      </c>
      <c r="R1060" s="2270">
        <v>100000</v>
      </c>
      <c r="S1060" s="2268"/>
      <c r="T1060" s="2268" t="s">
        <v>3026</v>
      </c>
      <c r="U1060" s="2268" t="s">
        <v>2768</v>
      </c>
      <c r="V1060" s="2268"/>
    </row>
    <row r="1061" spans="3:22" ht="15">
      <c r="C1061" s="2265"/>
      <c r="D1061" s="2271" t="s">
        <v>676</v>
      </c>
      <c r="E1061" s="2955" t="s">
        <v>676</v>
      </c>
      <c r="F1061" s="2956"/>
      <c r="G1061" s="2956"/>
      <c r="H1061" s="2957"/>
      <c r="I1061" s="2888" t="s">
        <v>676</v>
      </c>
      <c r="J1061" s="2890"/>
      <c r="K1061" s="2888" t="s">
        <v>676</v>
      </c>
      <c r="L1061" s="2890"/>
      <c r="M1061" s="2271" t="s">
        <v>676</v>
      </c>
      <c r="N1061" s="2271" t="s">
        <v>676</v>
      </c>
      <c r="O1061" s="2271" t="s">
        <v>676</v>
      </c>
      <c r="P1061" s="2272" t="s">
        <v>676</v>
      </c>
      <c r="Q1061" s="2270" t="s">
        <v>2769</v>
      </c>
      <c r="R1061" s="2270">
        <v>0</v>
      </c>
      <c r="S1061" s="2271" t="s">
        <v>676</v>
      </c>
      <c r="T1061" s="2271" t="s">
        <v>676</v>
      </c>
      <c r="U1061" s="2271" t="s">
        <v>676</v>
      </c>
      <c r="V1061" s="2271" t="s">
        <v>676</v>
      </c>
    </row>
    <row r="1062" spans="3:22" ht="15">
      <c r="C1062" s="2265"/>
      <c r="D1062" s="2271" t="s">
        <v>676</v>
      </c>
      <c r="E1062" s="2946" t="s">
        <v>676</v>
      </c>
      <c r="F1062" s="2947"/>
      <c r="G1062" s="2947"/>
      <c r="H1062" s="2948"/>
      <c r="I1062" s="2892" t="s">
        <v>676</v>
      </c>
      <c r="J1062" s="2889"/>
      <c r="K1062" s="2888" t="s">
        <v>676</v>
      </c>
      <c r="L1062" s="2890"/>
      <c r="M1062" s="2271" t="s">
        <v>676</v>
      </c>
      <c r="N1062" s="2271" t="s">
        <v>676</v>
      </c>
      <c r="O1062" s="2271" t="s">
        <v>676</v>
      </c>
      <c r="P1062" s="2272" t="s">
        <v>676</v>
      </c>
      <c r="Q1062" s="2270" t="s">
        <v>2770</v>
      </c>
      <c r="R1062" s="2270">
        <v>0</v>
      </c>
      <c r="S1062" s="2271" t="s">
        <v>676</v>
      </c>
      <c r="T1062" s="2271" t="s">
        <v>676</v>
      </c>
      <c r="U1062" s="2271" t="s">
        <v>676</v>
      </c>
      <c r="V1062" s="2271" t="s">
        <v>676</v>
      </c>
    </row>
    <row r="1063" spans="3:22" ht="45">
      <c r="C1063" s="2265"/>
      <c r="D1063" s="2268">
        <v>15</v>
      </c>
      <c r="E1063" s="2952" t="s">
        <v>3074</v>
      </c>
      <c r="F1063" s="2953"/>
      <c r="G1063" s="2953"/>
      <c r="H1063" s="2954"/>
      <c r="I1063" s="2882" t="s">
        <v>1916</v>
      </c>
      <c r="J1063" s="2884"/>
      <c r="K1063" s="2882" t="s">
        <v>2762</v>
      </c>
      <c r="L1063" s="2884"/>
      <c r="M1063" s="2268" t="s">
        <v>2763</v>
      </c>
      <c r="N1063" s="2268" t="s">
        <v>2764</v>
      </c>
      <c r="O1063" s="2268" t="s">
        <v>2776</v>
      </c>
      <c r="P1063" s="2269">
        <v>175000</v>
      </c>
      <c r="Q1063" s="2270" t="s">
        <v>2766</v>
      </c>
      <c r="R1063" s="2270">
        <v>175000</v>
      </c>
      <c r="S1063" s="2268" t="s">
        <v>688</v>
      </c>
      <c r="T1063" s="2268" t="s">
        <v>2767</v>
      </c>
      <c r="U1063" s="2268" t="s">
        <v>2835</v>
      </c>
      <c r="V1063" s="2268"/>
    </row>
    <row r="1064" spans="3:22" ht="15">
      <c r="C1064" s="2265"/>
      <c r="D1064" s="2271" t="s">
        <v>676</v>
      </c>
      <c r="E1064" s="2955" t="s">
        <v>676</v>
      </c>
      <c r="F1064" s="2956"/>
      <c r="G1064" s="2956"/>
      <c r="H1064" s="2957"/>
      <c r="I1064" s="2888" t="s">
        <v>676</v>
      </c>
      <c r="J1064" s="2890"/>
      <c r="K1064" s="2888" t="s">
        <v>676</v>
      </c>
      <c r="L1064" s="2890"/>
      <c r="M1064" s="2271" t="s">
        <v>676</v>
      </c>
      <c r="N1064" s="2271" t="s">
        <v>676</v>
      </c>
      <c r="O1064" s="2271" t="s">
        <v>676</v>
      </c>
      <c r="P1064" s="2272" t="s">
        <v>676</v>
      </c>
      <c r="Q1064" s="2270" t="s">
        <v>2769</v>
      </c>
      <c r="R1064" s="2270">
        <v>0</v>
      </c>
      <c r="S1064" s="2271" t="s">
        <v>676</v>
      </c>
      <c r="T1064" s="2271" t="s">
        <v>676</v>
      </c>
      <c r="U1064" s="2271" t="s">
        <v>676</v>
      </c>
      <c r="V1064" s="2271" t="s">
        <v>676</v>
      </c>
    </row>
    <row r="1065" spans="3:22" ht="15">
      <c r="C1065" s="2265"/>
      <c r="D1065" s="2271" t="s">
        <v>676</v>
      </c>
      <c r="E1065" s="2946" t="s">
        <v>676</v>
      </c>
      <c r="F1065" s="2947"/>
      <c r="G1065" s="2947"/>
      <c r="H1065" s="2948"/>
      <c r="I1065" s="2892" t="s">
        <v>676</v>
      </c>
      <c r="J1065" s="2889"/>
      <c r="K1065" s="2888" t="s">
        <v>676</v>
      </c>
      <c r="L1065" s="2890"/>
      <c r="M1065" s="2271" t="s">
        <v>676</v>
      </c>
      <c r="N1065" s="2271" t="s">
        <v>676</v>
      </c>
      <c r="O1065" s="2271" t="s">
        <v>676</v>
      </c>
      <c r="P1065" s="2272" t="s">
        <v>676</v>
      </c>
      <c r="Q1065" s="2270" t="s">
        <v>2770</v>
      </c>
      <c r="R1065" s="2270">
        <v>0</v>
      </c>
      <c r="S1065" s="2271" t="s">
        <v>676</v>
      </c>
      <c r="T1065" s="2271" t="s">
        <v>676</v>
      </c>
      <c r="U1065" s="2271" t="s">
        <v>676</v>
      </c>
      <c r="V1065" s="2271" t="s">
        <v>676</v>
      </c>
    </row>
    <row r="1066" spans="3:22" ht="45">
      <c r="C1066" s="2265"/>
      <c r="D1066" s="2268">
        <v>16</v>
      </c>
      <c r="E1066" s="2952" t="s">
        <v>3075</v>
      </c>
      <c r="F1066" s="2953"/>
      <c r="G1066" s="2953"/>
      <c r="H1066" s="2954"/>
      <c r="I1066" s="2882" t="s">
        <v>1260</v>
      </c>
      <c r="J1066" s="2884"/>
      <c r="K1066" s="2882" t="s">
        <v>2762</v>
      </c>
      <c r="L1066" s="2884"/>
      <c r="M1066" s="2268" t="s">
        <v>2763</v>
      </c>
      <c r="N1066" s="2268" t="s">
        <v>2764</v>
      </c>
      <c r="O1066" s="2268" t="s">
        <v>2765</v>
      </c>
      <c r="P1066" s="2269">
        <v>100000</v>
      </c>
      <c r="Q1066" s="2270" t="s">
        <v>2766</v>
      </c>
      <c r="R1066" s="2270">
        <v>100000</v>
      </c>
      <c r="S1066" s="2268"/>
      <c r="T1066" s="2268" t="s">
        <v>2767</v>
      </c>
      <c r="U1066" s="2268" t="s">
        <v>2768</v>
      </c>
      <c r="V1066" s="2268"/>
    </row>
    <row r="1067" spans="3:22" ht="15">
      <c r="C1067" s="2265"/>
      <c r="D1067" s="2271" t="s">
        <v>676</v>
      </c>
      <c r="E1067" s="2955" t="s">
        <v>676</v>
      </c>
      <c r="F1067" s="2956"/>
      <c r="G1067" s="2956"/>
      <c r="H1067" s="2957"/>
      <c r="I1067" s="2888" t="s">
        <v>676</v>
      </c>
      <c r="J1067" s="2890"/>
      <c r="K1067" s="2888" t="s">
        <v>676</v>
      </c>
      <c r="L1067" s="2890"/>
      <c r="M1067" s="2271" t="s">
        <v>676</v>
      </c>
      <c r="N1067" s="2271" t="s">
        <v>676</v>
      </c>
      <c r="O1067" s="2271" t="s">
        <v>676</v>
      </c>
      <c r="P1067" s="2272" t="s">
        <v>676</v>
      </c>
      <c r="Q1067" s="2270" t="s">
        <v>2769</v>
      </c>
      <c r="R1067" s="2270">
        <v>0</v>
      </c>
      <c r="S1067" s="2271" t="s">
        <v>676</v>
      </c>
      <c r="T1067" s="2271" t="s">
        <v>676</v>
      </c>
      <c r="U1067" s="2271" t="s">
        <v>676</v>
      </c>
      <c r="V1067" s="2271" t="s">
        <v>676</v>
      </c>
    </row>
    <row r="1068" spans="3:22" ht="15">
      <c r="C1068" s="2265"/>
      <c r="D1068" s="2271" t="s">
        <v>676</v>
      </c>
      <c r="E1068" s="2946" t="s">
        <v>676</v>
      </c>
      <c r="F1068" s="2947"/>
      <c r="G1068" s="2947"/>
      <c r="H1068" s="2948"/>
      <c r="I1068" s="2892" t="s">
        <v>676</v>
      </c>
      <c r="J1068" s="2889"/>
      <c r="K1068" s="2888" t="s">
        <v>676</v>
      </c>
      <c r="L1068" s="2890"/>
      <c r="M1068" s="2271" t="s">
        <v>676</v>
      </c>
      <c r="N1068" s="2271" t="s">
        <v>676</v>
      </c>
      <c r="O1068" s="2271" t="s">
        <v>676</v>
      </c>
      <c r="P1068" s="2272" t="s">
        <v>676</v>
      </c>
      <c r="Q1068" s="2270" t="s">
        <v>2770</v>
      </c>
      <c r="R1068" s="2270">
        <v>0</v>
      </c>
      <c r="S1068" s="2271" t="s">
        <v>676</v>
      </c>
      <c r="T1068" s="2271" t="s">
        <v>676</v>
      </c>
      <c r="U1068" s="2271" t="s">
        <v>676</v>
      </c>
      <c r="V1068" s="2271" t="s">
        <v>676</v>
      </c>
    </row>
    <row r="1069" spans="3:22" ht="45">
      <c r="C1069" s="2265"/>
      <c r="D1069" s="2268">
        <v>17</v>
      </c>
      <c r="E1069" s="2952" t="s">
        <v>3076</v>
      </c>
      <c r="F1069" s="2953"/>
      <c r="G1069" s="2953"/>
      <c r="H1069" s="2954"/>
      <c r="I1069" s="2882" t="s">
        <v>1260</v>
      </c>
      <c r="J1069" s="2884"/>
      <c r="K1069" s="2882" t="s">
        <v>2762</v>
      </c>
      <c r="L1069" s="2884"/>
      <c r="M1069" s="2268" t="s">
        <v>2763</v>
      </c>
      <c r="N1069" s="2268" t="s">
        <v>2764</v>
      </c>
      <c r="O1069" s="2268" t="s">
        <v>2765</v>
      </c>
      <c r="P1069" s="2269">
        <v>100000</v>
      </c>
      <c r="Q1069" s="2270" t="s">
        <v>2766</v>
      </c>
      <c r="R1069" s="2270">
        <v>100000</v>
      </c>
      <c r="S1069" s="2268"/>
      <c r="T1069" s="2268" t="s">
        <v>2767</v>
      </c>
      <c r="U1069" s="2268" t="s">
        <v>2768</v>
      </c>
      <c r="V1069" s="2268"/>
    </row>
    <row r="1070" spans="3:22" ht="15">
      <c r="C1070" s="2265"/>
      <c r="D1070" s="2271" t="s">
        <v>676</v>
      </c>
      <c r="E1070" s="2955" t="s">
        <v>676</v>
      </c>
      <c r="F1070" s="2956"/>
      <c r="G1070" s="2956"/>
      <c r="H1070" s="2957"/>
      <c r="I1070" s="2888" t="s">
        <v>676</v>
      </c>
      <c r="J1070" s="2890"/>
      <c r="K1070" s="2888" t="s">
        <v>676</v>
      </c>
      <c r="L1070" s="2890"/>
      <c r="M1070" s="2271" t="s">
        <v>676</v>
      </c>
      <c r="N1070" s="2271" t="s">
        <v>676</v>
      </c>
      <c r="O1070" s="2271" t="s">
        <v>676</v>
      </c>
      <c r="P1070" s="2272" t="s">
        <v>676</v>
      </c>
      <c r="Q1070" s="2270" t="s">
        <v>2769</v>
      </c>
      <c r="R1070" s="2270">
        <v>0</v>
      </c>
      <c r="S1070" s="2271" t="s">
        <v>676</v>
      </c>
      <c r="T1070" s="2271" t="s">
        <v>676</v>
      </c>
      <c r="U1070" s="2271" t="s">
        <v>676</v>
      </c>
      <c r="V1070" s="2271" t="s">
        <v>676</v>
      </c>
    </row>
    <row r="1071" spans="3:22" ht="15">
      <c r="C1071" s="2265"/>
      <c r="D1071" s="2271" t="s">
        <v>676</v>
      </c>
      <c r="E1071" s="2946" t="s">
        <v>676</v>
      </c>
      <c r="F1071" s="2947"/>
      <c r="G1071" s="2947"/>
      <c r="H1071" s="2948"/>
      <c r="I1071" s="2892" t="s">
        <v>676</v>
      </c>
      <c r="J1071" s="2889"/>
      <c r="K1071" s="2888" t="s">
        <v>676</v>
      </c>
      <c r="L1071" s="2890"/>
      <c r="M1071" s="2271" t="s">
        <v>676</v>
      </c>
      <c r="N1071" s="2271" t="s">
        <v>676</v>
      </c>
      <c r="O1071" s="2271" t="s">
        <v>676</v>
      </c>
      <c r="P1071" s="2272" t="s">
        <v>676</v>
      </c>
      <c r="Q1071" s="2270" t="s">
        <v>2770</v>
      </c>
      <c r="R1071" s="2270">
        <v>0</v>
      </c>
      <c r="S1071" s="2271" t="s">
        <v>676</v>
      </c>
      <c r="T1071" s="2271" t="s">
        <v>676</v>
      </c>
      <c r="U1071" s="2271" t="s">
        <v>676</v>
      </c>
      <c r="V1071" s="2271" t="s">
        <v>676</v>
      </c>
    </row>
    <row r="1072" spans="3:22" ht="45">
      <c r="C1072" s="2265"/>
      <c r="D1072" s="2268">
        <v>18</v>
      </c>
      <c r="E1072" s="2952" t="s">
        <v>3077</v>
      </c>
      <c r="F1072" s="2953"/>
      <c r="G1072" s="2953"/>
      <c r="H1072" s="2954"/>
      <c r="I1072" s="2882" t="s">
        <v>3078</v>
      </c>
      <c r="J1072" s="2884"/>
      <c r="K1072" s="2882" t="s">
        <v>2762</v>
      </c>
      <c r="L1072" s="2884"/>
      <c r="M1072" s="2268" t="s">
        <v>2763</v>
      </c>
      <c r="N1072" s="2268" t="s">
        <v>2775</v>
      </c>
      <c r="O1072" s="2268" t="s">
        <v>2765</v>
      </c>
      <c r="P1072" s="2269">
        <v>98000</v>
      </c>
      <c r="Q1072" s="2270" t="s">
        <v>2766</v>
      </c>
      <c r="R1072" s="2270">
        <v>98000</v>
      </c>
      <c r="S1072" s="2268"/>
      <c r="T1072" s="2268" t="s">
        <v>2767</v>
      </c>
      <c r="U1072" s="2268" t="s">
        <v>2835</v>
      </c>
      <c r="V1072" s="2268"/>
    </row>
    <row r="1073" spans="3:22" ht="15">
      <c r="C1073" s="2265"/>
      <c r="D1073" s="2271" t="s">
        <v>676</v>
      </c>
      <c r="E1073" s="2955" t="s">
        <v>676</v>
      </c>
      <c r="F1073" s="2956"/>
      <c r="G1073" s="2956"/>
      <c r="H1073" s="2957"/>
      <c r="I1073" s="2888" t="s">
        <v>676</v>
      </c>
      <c r="J1073" s="2890"/>
      <c r="K1073" s="2888" t="s">
        <v>676</v>
      </c>
      <c r="L1073" s="2890"/>
      <c r="M1073" s="2271" t="s">
        <v>676</v>
      </c>
      <c r="N1073" s="2271" t="s">
        <v>676</v>
      </c>
      <c r="O1073" s="2271" t="s">
        <v>676</v>
      </c>
      <c r="P1073" s="2272" t="s">
        <v>676</v>
      </c>
      <c r="Q1073" s="2270" t="s">
        <v>2769</v>
      </c>
      <c r="R1073" s="2270">
        <v>0</v>
      </c>
      <c r="S1073" s="2271" t="s">
        <v>676</v>
      </c>
      <c r="T1073" s="2271" t="s">
        <v>676</v>
      </c>
      <c r="U1073" s="2271" t="s">
        <v>676</v>
      </c>
      <c r="V1073" s="2271" t="s">
        <v>676</v>
      </c>
    </row>
    <row r="1074" spans="3:22" ht="15">
      <c r="C1074" s="2265"/>
      <c r="D1074" s="2273" t="s">
        <v>676</v>
      </c>
      <c r="E1074" s="2946" t="s">
        <v>676</v>
      </c>
      <c r="F1074" s="2947"/>
      <c r="G1074" s="2947"/>
      <c r="H1074" s="2948"/>
      <c r="I1074" s="2899" t="s">
        <v>676</v>
      </c>
      <c r="J1074" s="2942"/>
      <c r="K1074" s="2900" t="s">
        <v>676</v>
      </c>
      <c r="L1074" s="2943"/>
      <c r="M1074" s="2273" t="s">
        <v>676</v>
      </c>
      <c r="N1074" s="2273" t="s">
        <v>676</v>
      </c>
      <c r="O1074" s="2273" t="s">
        <v>676</v>
      </c>
      <c r="P1074" s="2274" t="s">
        <v>676</v>
      </c>
      <c r="Q1074" s="2270" t="s">
        <v>2770</v>
      </c>
      <c r="R1074" s="2270">
        <v>0</v>
      </c>
      <c r="S1074" s="2273" t="s">
        <v>676</v>
      </c>
      <c r="T1074" s="2273" t="s">
        <v>676</v>
      </c>
      <c r="U1074" s="2273" t="s">
        <v>676</v>
      </c>
      <c r="V1074" s="2273" t="s">
        <v>676</v>
      </c>
    </row>
    <row r="1075" spans="3:22" ht="15">
      <c r="C1075" s="2399"/>
      <c r="D1075" s="2400" t="s">
        <v>82</v>
      </c>
      <c r="E1075" s="2401"/>
      <c r="F1075" s="2401"/>
      <c r="G1075" s="2401"/>
      <c r="H1075" s="2402"/>
      <c r="I1075" s="2402"/>
      <c r="J1075" s="2403"/>
      <c r="K1075" s="2403"/>
      <c r="L1075" s="2403"/>
      <c r="M1075" s="2402"/>
      <c r="N1075" s="2402"/>
      <c r="O1075" s="2402"/>
      <c r="P1075" s="2403">
        <f>SUM(P1021:P1074)</f>
        <v>2194333</v>
      </c>
      <c r="Q1075" s="2403"/>
      <c r="R1075" s="2403">
        <f>SUM(R1021:R1074)</f>
        <v>2194333</v>
      </c>
      <c r="S1075" s="2404"/>
      <c r="T1075" s="2404"/>
      <c r="U1075" s="2404"/>
      <c r="V1075" s="2376"/>
    </row>
    <row r="1076" spans="3:22" ht="20.25">
      <c r="C1076" s="2377"/>
      <c r="D1076" s="2378"/>
      <c r="E1076" s="2379"/>
      <c r="F1076" s="2379"/>
      <c r="G1076" s="2380"/>
      <c r="H1076" s="2377"/>
      <c r="I1076" s="2377"/>
      <c r="J1076" s="2377"/>
      <c r="K1076" s="2377"/>
      <c r="L1076" s="2381"/>
      <c r="M1076" s="2381"/>
      <c r="N1076" s="2381"/>
      <c r="O1076" s="2381"/>
      <c r="P1076" s="2381"/>
      <c r="Q1076" s="2284" t="s">
        <v>2789</v>
      </c>
      <c r="R1076" s="2381"/>
      <c r="S1076" s="2381"/>
      <c r="T1076" s="2381"/>
      <c r="U1076" s="2381"/>
      <c r="V1076" s="2382"/>
    </row>
    <row r="1077" spans="3:22" ht="20.25">
      <c r="C1077" s="2381"/>
      <c r="D1077" s="2381"/>
      <c r="E1077" s="2383"/>
      <c r="F1077" s="2383"/>
      <c r="G1077" s="2383"/>
      <c r="H1077" s="2381"/>
      <c r="I1077" s="2381"/>
      <c r="J1077" s="2381"/>
      <c r="K1077" s="2381"/>
      <c r="L1077" s="2381"/>
      <c r="M1077" s="2381"/>
      <c r="N1077" s="2381"/>
      <c r="O1077" s="2381"/>
      <c r="P1077" s="2381"/>
      <c r="Q1077" s="2284" t="s">
        <v>2790</v>
      </c>
      <c r="R1077" s="2381"/>
      <c r="S1077" s="2381"/>
      <c r="T1077" s="2381"/>
      <c r="U1077" s="2381"/>
      <c r="V1077" s="2382"/>
    </row>
    <row r="1078" spans="3:22" ht="20.25">
      <c r="C1078" s="2938" t="s">
        <v>2749</v>
      </c>
      <c r="D1078" s="2939"/>
      <c r="E1078" s="2939"/>
      <c r="F1078" s="2939"/>
      <c r="G1078" s="2939"/>
      <c r="H1078" s="2939"/>
      <c r="I1078" s="2939"/>
      <c r="J1078" s="2265"/>
      <c r="K1078" s="2265"/>
      <c r="L1078" s="2265"/>
      <c r="M1078" s="2265"/>
      <c r="N1078" s="2265"/>
      <c r="O1078" s="2265"/>
      <c r="P1078" s="2307"/>
      <c r="Q1078" s="2307"/>
      <c r="R1078" s="2307"/>
      <c r="S1078" s="2265"/>
      <c r="T1078" s="2265"/>
      <c r="U1078" s="2265"/>
      <c r="V1078" s="2265"/>
    </row>
    <row r="1079" spans="3:22" ht="15">
      <c r="C1079" s="2265"/>
      <c r="D1079" s="2265"/>
      <c r="E1079" s="2366"/>
      <c r="F1079" s="2366"/>
      <c r="G1079" s="2366"/>
      <c r="H1079" s="2265"/>
      <c r="I1079" s="2265"/>
      <c r="J1079" s="2265"/>
      <c r="K1079" s="2265"/>
      <c r="L1079" s="2265"/>
      <c r="M1079" s="2265"/>
      <c r="N1079" s="2265"/>
      <c r="O1079" s="2265"/>
      <c r="P1079" s="2307"/>
      <c r="Q1079" s="2307"/>
      <c r="R1079" s="2307"/>
      <c r="S1079" s="2265"/>
      <c r="T1079" s="2265"/>
      <c r="U1079" s="2265"/>
      <c r="V1079" s="2265"/>
    </row>
    <row r="1080" spans="3:22" ht="15">
      <c r="C1080" s="2949" t="s">
        <v>653</v>
      </c>
      <c r="D1080" s="2950"/>
      <c r="E1080" s="2950"/>
      <c r="F1080" s="2405"/>
      <c r="G1080" s="2406">
        <v>2020</v>
      </c>
      <c r="H1080" s="2407"/>
      <c r="I1080" s="2407"/>
      <c r="J1080" s="2407"/>
      <c r="K1080" s="2407"/>
      <c r="L1080" s="2407"/>
      <c r="M1080" s="2407"/>
      <c r="N1080" s="2407"/>
      <c r="O1080" s="2407"/>
      <c r="P1080" s="2408"/>
      <c r="Q1080" s="2408"/>
      <c r="R1080" s="2408"/>
      <c r="S1080" s="2407"/>
      <c r="T1080" s="2407"/>
      <c r="U1080" s="2407"/>
      <c r="V1080" s="2407"/>
    </row>
    <row r="1081" spans="3:22" ht="15">
      <c r="C1081" s="2407"/>
      <c r="D1081" s="2407"/>
      <c r="E1081" s="2405"/>
      <c r="F1081" s="2405"/>
      <c r="G1081" s="2405"/>
      <c r="H1081" s="2407"/>
      <c r="I1081" s="2407"/>
      <c r="J1081" s="2407"/>
      <c r="K1081" s="2407"/>
      <c r="L1081" s="2407"/>
      <c r="M1081" s="2407"/>
      <c r="N1081" s="2407"/>
      <c r="O1081" s="2407"/>
      <c r="P1081" s="2408"/>
      <c r="Q1081" s="2408"/>
      <c r="R1081" s="2408"/>
      <c r="S1081" s="2407"/>
      <c r="T1081" s="2407"/>
      <c r="U1081" s="2407"/>
      <c r="V1081" s="2407"/>
    </row>
    <row r="1082" spans="3:22" ht="15">
      <c r="C1082" s="2949" t="s">
        <v>655</v>
      </c>
      <c r="D1082" s="2950"/>
      <c r="E1082" s="2950"/>
      <c r="F1082" s="2405"/>
      <c r="G1082" s="2951" t="s">
        <v>3079</v>
      </c>
      <c r="H1082" s="2950"/>
      <c r="I1082" s="2950"/>
      <c r="J1082" s="2950"/>
      <c r="K1082" s="2950"/>
      <c r="L1082" s="2407"/>
      <c r="M1082" s="2407"/>
      <c r="N1082" s="2407"/>
      <c r="O1082" s="2407"/>
      <c r="P1082" s="2408"/>
      <c r="Q1082" s="2408"/>
      <c r="R1082" s="2408"/>
      <c r="S1082" s="2407"/>
      <c r="T1082" s="2407"/>
      <c r="U1082" s="2407"/>
      <c r="V1082" s="2407"/>
    </row>
    <row r="1083" spans="3:22" ht="15">
      <c r="C1083" s="2407"/>
      <c r="D1083" s="2407"/>
      <c r="E1083" s="2405"/>
      <c r="F1083" s="2405"/>
      <c r="G1083" s="2405"/>
      <c r="H1083" s="2407"/>
      <c r="I1083" s="2407"/>
      <c r="J1083" s="2407"/>
      <c r="K1083" s="2407"/>
      <c r="L1083" s="2407"/>
      <c r="M1083" s="2407"/>
      <c r="N1083" s="2407"/>
      <c r="O1083" s="2407"/>
      <c r="P1083" s="2408"/>
      <c r="Q1083" s="2408"/>
      <c r="R1083" s="2408"/>
      <c r="S1083" s="2407"/>
      <c r="T1083" s="2407"/>
      <c r="U1083" s="2407"/>
      <c r="V1083" s="2407"/>
    </row>
    <row r="1084" spans="3:22" ht="110.25">
      <c r="C1084" s="2265"/>
      <c r="D1084" s="2266" t="s">
        <v>657</v>
      </c>
      <c r="E1084" s="2893" t="s">
        <v>587</v>
      </c>
      <c r="F1084" s="2894"/>
      <c r="G1084" s="2894"/>
      <c r="H1084" s="2895"/>
      <c r="I1084" s="2893" t="s">
        <v>2751</v>
      </c>
      <c r="J1084" s="2895"/>
      <c r="K1084" s="2893" t="s">
        <v>2752</v>
      </c>
      <c r="L1084" s="2895"/>
      <c r="M1084" s="2266" t="s">
        <v>2753</v>
      </c>
      <c r="N1084" s="2266" t="s">
        <v>2754</v>
      </c>
      <c r="O1084" s="2266" t="s">
        <v>2755</v>
      </c>
      <c r="P1084" s="2267" t="s">
        <v>2756</v>
      </c>
      <c r="Q1084" s="2267" t="s">
        <v>2757</v>
      </c>
      <c r="R1084" s="2267" t="s">
        <v>2758</v>
      </c>
      <c r="S1084" s="2266" t="s">
        <v>623</v>
      </c>
      <c r="T1084" s="2266" t="s">
        <v>2759</v>
      </c>
      <c r="U1084" s="2266" t="s">
        <v>2760</v>
      </c>
      <c r="V1084" s="2266" t="s">
        <v>2761</v>
      </c>
    </row>
    <row r="1085" spans="3:22" ht="45">
      <c r="C1085" s="2265"/>
      <c r="D1085" s="2268">
        <v>1</v>
      </c>
      <c r="E1085" s="2882" t="s">
        <v>3080</v>
      </c>
      <c r="F1085" s="2883"/>
      <c r="G1085" s="2883"/>
      <c r="H1085" s="2884"/>
      <c r="I1085" s="2882" t="s">
        <v>3081</v>
      </c>
      <c r="J1085" s="2884"/>
      <c r="K1085" s="2882" t="s">
        <v>2762</v>
      </c>
      <c r="L1085" s="2884"/>
      <c r="M1085" s="2268" t="s">
        <v>2763</v>
      </c>
      <c r="N1085" s="2268" t="s">
        <v>2764</v>
      </c>
      <c r="O1085" s="2268" t="s">
        <v>2765</v>
      </c>
      <c r="P1085" s="2269">
        <v>100000</v>
      </c>
      <c r="Q1085" s="2270" t="s">
        <v>2766</v>
      </c>
      <c r="R1085" s="2270">
        <v>100000</v>
      </c>
      <c r="S1085" s="2268"/>
      <c r="T1085" s="2268" t="s">
        <v>3082</v>
      </c>
      <c r="U1085" s="2268" t="s">
        <v>2768</v>
      </c>
      <c r="V1085" s="2268"/>
    </row>
    <row r="1086" spans="3:22" ht="15">
      <c r="C1086" s="2265"/>
      <c r="D1086" s="2271" t="s">
        <v>676</v>
      </c>
      <c r="E1086" s="2888" t="s">
        <v>676</v>
      </c>
      <c r="F1086" s="2889"/>
      <c r="G1086" s="2889"/>
      <c r="H1086" s="2890"/>
      <c r="I1086" s="2888" t="s">
        <v>676</v>
      </c>
      <c r="J1086" s="2890"/>
      <c r="K1086" s="2888" t="s">
        <v>676</v>
      </c>
      <c r="L1086" s="2890"/>
      <c r="M1086" s="2271" t="s">
        <v>676</v>
      </c>
      <c r="N1086" s="2271" t="s">
        <v>676</v>
      </c>
      <c r="O1086" s="2271" t="s">
        <v>676</v>
      </c>
      <c r="P1086" s="2272" t="s">
        <v>676</v>
      </c>
      <c r="Q1086" s="2270" t="s">
        <v>2769</v>
      </c>
      <c r="R1086" s="2270">
        <v>0</v>
      </c>
      <c r="S1086" s="2271" t="s">
        <v>676</v>
      </c>
      <c r="T1086" s="2271" t="s">
        <v>676</v>
      </c>
      <c r="U1086" s="2271" t="s">
        <v>676</v>
      </c>
      <c r="V1086" s="2271" t="s">
        <v>676</v>
      </c>
    </row>
    <row r="1087" spans="3:22" ht="15">
      <c r="C1087" s="2265"/>
      <c r="D1087" s="2271" t="s">
        <v>676</v>
      </c>
      <c r="E1087" s="2891" t="s">
        <v>676</v>
      </c>
      <c r="F1087" s="2889"/>
      <c r="G1087" s="2889"/>
      <c r="H1087" s="2890"/>
      <c r="I1087" s="2892" t="s">
        <v>676</v>
      </c>
      <c r="J1087" s="2889"/>
      <c r="K1087" s="2888" t="s">
        <v>676</v>
      </c>
      <c r="L1087" s="2890"/>
      <c r="M1087" s="2271" t="s">
        <v>676</v>
      </c>
      <c r="N1087" s="2271" t="s">
        <v>676</v>
      </c>
      <c r="O1087" s="2271" t="s">
        <v>676</v>
      </c>
      <c r="P1087" s="2272" t="s">
        <v>676</v>
      </c>
      <c r="Q1087" s="2270" t="s">
        <v>2770</v>
      </c>
      <c r="R1087" s="2270">
        <v>0</v>
      </c>
      <c r="S1087" s="2271" t="s">
        <v>676</v>
      </c>
      <c r="T1087" s="2271" t="s">
        <v>676</v>
      </c>
      <c r="U1087" s="2271" t="s">
        <v>676</v>
      </c>
      <c r="V1087" s="2271" t="s">
        <v>676</v>
      </c>
    </row>
    <row r="1088" spans="3:22" ht="45">
      <c r="C1088" s="2265"/>
      <c r="D1088" s="2268">
        <v>2</v>
      </c>
      <c r="E1088" s="2882" t="s">
        <v>3083</v>
      </c>
      <c r="F1088" s="2883"/>
      <c r="G1088" s="2883"/>
      <c r="H1088" s="2884"/>
      <c r="I1088" s="2882" t="s">
        <v>3084</v>
      </c>
      <c r="J1088" s="2884"/>
      <c r="K1088" s="2882" t="s">
        <v>2762</v>
      </c>
      <c r="L1088" s="2884"/>
      <c r="M1088" s="2268" t="s">
        <v>2763</v>
      </c>
      <c r="N1088" s="2268" t="s">
        <v>2764</v>
      </c>
      <c r="O1088" s="2268" t="s">
        <v>2765</v>
      </c>
      <c r="P1088" s="2269">
        <v>30000</v>
      </c>
      <c r="Q1088" s="2270" t="s">
        <v>2766</v>
      </c>
      <c r="R1088" s="2270">
        <v>30000</v>
      </c>
      <c r="S1088" s="2268"/>
      <c r="T1088" s="2268" t="s">
        <v>3029</v>
      </c>
      <c r="U1088" s="2268" t="s">
        <v>2768</v>
      </c>
      <c r="V1088" s="2268"/>
    </row>
    <row r="1089" spans="3:22" ht="15">
      <c r="C1089" s="2265"/>
      <c r="D1089" s="2271" t="s">
        <v>676</v>
      </c>
      <c r="E1089" s="2888" t="s">
        <v>676</v>
      </c>
      <c r="F1089" s="2889"/>
      <c r="G1089" s="2889"/>
      <c r="H1089" s="2890"/>
      <c r="I1089" s="2888" t="s">
        <v>676</v>
      </c>
      <c r="J1089" s="2890"/>
      <c r="K1089" s="2888" t="s">
        <v>676</v>
      </c>
      <c r="L1089" s="2890"/>
      <c r="M1089" s="2271" t="s">
        <v>676</v>
      </c>
      <c r="N1089" s="2271" t="s">
        <v>676</v>
      </c>
      <c r="O1089" s="2271" t="s">
        <v>676</v>
      </c>
      <c r="P1089" s="2272" t="s">
        <v>676</v>
      </c>
      <c r="Q1089" s="2270" t="s">
        <v>2769</v>
      </c>
      <c r="R1089" s="2270">
        <v>0</v>
      </c>
      <c r="S1089" s="2271" t="s">
        <v>676</v>
      </c>
      <c r="T1089" s="2271" t="s">
        <v>676</v>
      </c>
      <c r="U1089" s="2271" t="s">
        <v>676</v>
      </c>
      <c r="V1089" s="2271" t="s">
        <v>676</v>
      </c>
    </row>
    <row r="1090" spans="3:22" ht="15">
      <c r="C1090" s="2265"/>
      <c r="D1090" s="2273" t="s">
        <v>676</v>
      </c>
      <c r="E1090" s="2896" t="s">
        <v>676</v>
      </c>
      <c r="F1090" s="2942"/>
      <c r="G1090" s="2942"/>
      <c r="H1090" s="2943"/>
      <c r="I1090" s="2899" t="s">
        <v>676</v>
      </c>
      <c r="J1090" s="2942"/>
      <c r="K1090" s="2900" t="s">
        <v>676</v>
      </c>
      <c r="L1090" s="2943"/>
      <c r="M1090" s="2273" t="s">
        <v>676</v>
      </c>
      <c r="N1090" s="2273" t="s">
        <v>676</v>
      </c>
      <c r="O1090" s="2273" t="s">
        <v>676</v>
      </c>
      <c r="P1090" s="2274" t="s">
        <v>676</v>
      </c>
      <c r="Q1090" s="2270" t="s">
        <v>2770</v>
      </c>
      <c r="R1090" s="2270">
        <v>0</v>
      </c>
      <c r="S1090" s="2273" t="s">
        <v>676</v>
      </c>
      <c r="T1090" s="2273" t="s">
        <v>676</v>
      </c>
      <c r="U1090" s="2273" t="s">
        <v>676</v>
      </c>
      <c r="V1090" s="2273" t="s">
        <v>676</v>
      </c>
    </row>
    <row r="1091" spans="3:22" ht="15">
      <c r="C1091" s="2409"/>
      <c r="D1091" s="2369" t="s">
        <v>82</v>
      </c>
      <c r="E1091" s="2370"/>
      <c r="F1091" s="2371"/>
      <c r="G1091" s="2371"/>
      <c r="H1091" s="2372"/>
      <c r="I1091" s="2372"/>
      <c r="J1091" s="2373"/>
      <c r="K1091" s="2373"/>
      <c r="L1091" s="2373"/>
      <c r="M1091" s="2372"/>
      <c r="N1091" s="2372"/>
      <c r="O1091" s="2372"/>
      <c r="P1091" s="2373">
        <f>SUM(P1085:P1090)</f>
        <v>130000</v>
      </c>
      <c r="Q1091" s="2374"/>
      <c r="R1091" s="2374">
        <f>SUM(R1085:R1090)</f>
        <v>130000</v>
      </c>
      <c r="S1091" s="2375"/>
      <c r="T1091" s="2375"/>
      <c r="U1091" s="2375"/>
      <c r="V1091" s="2376"/>
    </row>
    <row r="1092" spans="3:22" ht="20.25">
      <c r="C1092" s="2377"/>
      <c r="D1092" s="2378"/>
      <c r="E1092" s="2379"/>
      <c r="F1092" s="2379"/>
      <c r="G1092" s="2380"/>
      <c r="H1092" s="2377"/>
      <c r="I1092" s="2377"/>
      <c r="J1092" s="2377"/>
      <c r="K1092" s="2377"/>
      <c r="L1092" s="2381"/>
      <c r="M1092" s="2381"/>
      <c r="N1092" s="2381"/>
      <c r="O1092" s="2381"/>
      <c r="P1092" s="2381"/>
      <c r="Q1092" s="2284" t="s">
        <v>2789</v>
      </c>
      <c r="R1092" s="2381"/>
      <c r="S1092" s="2381"/>
      <c r="T1092" s="2381"/>
      <c r="U1092" s="2381"/>
      <c r="V1092" s="2382"/>
    </row>
    <row r="1093" spans="3:22" ht="20.25">
      <c r="C1093" s="2381"/>
      <c r="D1093" s="2381"/>
      <c r="E1093" s="2383"/>
      <c r="F1093" s="2383"/>
      <c r="G1093" s="2383"/>
      <c r="H1093" s="2381"/>
      <c r="I1093" s="2381"/>
      <c r="J1093" s="2381"/>
      <c r="K1093" s="2381"/>
      <c r="L1093" s="2381"/>
      <c r="M1093" s="2381"/>
      <c r="N1093" s="2381"/>
      <c r="O1093" s="2381"/>
      <c r="P1093" s="2381"/>
      <c r="Q1093" s="2284" t="s">
        <v>2790</v>
      </c>
      <c r="R1093" s="2381"/>
      <c r="S1093" s="2381"/>
      <c r="T1093" s="2381"/>
      <c r="U1093" s="2381"/>
      <c r="V1093" s="2382"/>
    </row>
    <row r="1094" spans="3:22" ht="20.25">
      <c r="C1094" s="2938" t="s">
        <v>2749</v>
      </c>
      <c r="D1094" s="2939"/>
      <c r="E1094" s="2939"/>
      <c r="F1094" s="2939"/>
      <c r="G1094" s="2939"/>
      <c r="H1094" s="2939"/>
      <c r="I1094" s="2939"/>
      <c r="J1094" s="2265"/>
      <c r="K1094" s="2265"/>
      <c r="L1094" s="2265"/>
      <c r="M1094" s="2265"/>
      <c r="N1094" s="2265"/>
      <c r="O1094" s="2265"/>
      <c r="P1094" s="2307"/>
      <c r="Q1094" s="2307"/>
      <c r="R1094" s="2307"/>
      <c r="S1094" s="2265"/>
      <c r="T1094" s="2265"/>
      <c r="U1094" s="2265"/>
      <c r="V1094" s="2265"/>
    </row>
    <row r="1095" spans="3:22" ht="15">
      <c r="C1095" s="2265"/>
      <c r="D1095" s="2265"/>
      <c r="E1095" s="2366"/>
      <c r="F1095" s="2366"/>
      <c r="G1095" s="2366"/>
      <c r="H1095" s="2265"/>
      <c r="I1095" s="2265"/>
      <c r="J1095" s="2265"/>
      <c r="K1095" s="2265"/>
      <c r="L1095" s="2265"/>
      <c r="M1095" s="2265"/>
      <c r="N1095" s="2265"/>
      <c r="O1095" s="2265"/>
      <c r="P1095" s="2307"/>
      <c r="Q1095" s="2307"/>
      <c r="R1095" s="2307"/>
      <c r="S1095" s="2265"/>
      <c r="T1095" s="2265"/>
      <c r="U1095" s="2265"/>
      <c r="V1095" s="2265"/>
    </row>
    <row r="1096" spans="3:22" ht="15">
      <c r="C1096" s="2940" t="s">
        <v>653</v>
      </c>
      <c r="D1096" s="2889"/>
      <c r="E1096" s="2889"/>
      <c r="F1096" s="2366"/>
      <c r="G1096" s="2384">
        <v>2020</v>
      </c>
      <c r="H1096" s="2265"/>
      <c r="I1096" s="2265"/>
      <c r="J1096" s="2265"/>
      <c r="K1096" s="2265"/>
      <c r="L1096" s="2265"/>
      <c r="M1096" s="2265"/>
      <c r="N1096" s="2265"/>
      <c r="O1096" s="2265"/>
      <c r="P1096" s="2307"/>
      <c r="Q1096" s="2307"/>
      <c r="R1096" s="2307"/>
      <c r="S1096" s="2265"/>
      <c r="T1096" s="2265"/>
      <c r="U1096" s="2265"/>
      <c r="V1096" s="2265"/>
    </row>
    <row r="1097" spans="3:22" ht="15">
      <c r="C1097" s="2265"/>
      <c r="D1097" s="2265"/>
      <c r="E1097" s="2366"/>
      <c r="F1097" s="2366"/>
      <c r="G1097" s="2366"/>
      <c r="H1097" s="2265"/>
      <c r="I1097" s="2265"/>
      <c r="J1097" s="2265"/>
      <c r="K1097" s="2265"/>
      <c r="L1097" s="2265"/>
      <c r="M1097" s="2265"/>
      <c r="N1097" s="2265"/>
      <c r="O1097" s="2265"/>
      <c r="P1097" s="2307"/>
      <c r="Q1097" s="2307"/>
      <c r="R1097" s="2307"/>
      <c r="S1097" s="2265"/>
      <c r="T1097" s="2265"/>
      <c r="U1097" s="2265"/>
      <c r="V1097" s="2265"/>
    </row>
    <row r="1098" spans="3:22" ht="15">
      <c r="C1098" s="2940" t="s">
        <v>655</v>
      </c>
      <c r="D1098" s="2889"/>
      <c r="E1098" s="2889"/>
      <c r="F1098" s="2366"/>
      <c r="G1098" s="2944" t="s">
        <v>3085</v>
      </c>
      <c r="H1098" s="2945"/>
      <c r="I1098" s="2945"/>
      <c r="J1098" s="2945"/>
      <c r="K1098" s="2945"/>
      <c r="L1098" s="2265"/>
      <c r="M1098" s="2265"/>
      <c r="N1098" s="2265"/>
      <c r="O1098" s="2265"/>
      <c r="P1098" s="2307"/>
      <c r="Q1098" s="2307"/>
      <c r="R1098" s="2307"/>
      <c r="S1098" s="2265"/>
      <c r="T1098" s="2265"/>
      <c r="U1098" s="2265"/>
      <c r="V1098" s="2265"/>
    </row>
    <row r="1099" spans="3:22" ht="15">
      <c r="C1099" s="2265"/>
      <c r="D1099" s="2265"/>
      <c r="E1099" s="2366"/>
      <c r="F1099" s="2366"/>
      <c r="G1099" s="2366"/>
      <c r="H1099" s="2265"/>
      <c r="I1099" s="2265"/>
      <c r="J1099" s="2265"/>
      <c r="K1099" s="2265"/>
      <c r="L1099" s="2265"/>
      <c r="M1099" s="2265"/>
      <c r="N1099" s="2265"/>
      <c r="O1099" s="2265"/>
      <c r="P1099" s="2307"/>
      <c r="Q1099" s="2307"/>
      <c r="R1099" s="2307"/>
      <c r="S1099" s="2265"/>
      <c r="T1099" s="2265"/>
      <c r="U1099" s="2265"/>
      <c r="V1099" s="2265"/>
    </row>
    <row r="1100" spans="3:22" ht="110.25">
      <c r="C1100" s="2316"/>
      <c r="D1100" s="2266" t="s">
        <v>657</v>
      </c>
      <c r="E1100" s="2893" t="s">
        <v>587</v>
      </c>
      <c r="F1100" s="2909"/>
      <c r="G1100" s="2909"/>
      <c r="H1100" s="2910"/>
      <c r="I1100" s="2893" t="s">
        <v>2751</v>
      </c>
      <c r="J1100" s="2910"/>
      <c r="K1100" s="2893" t="s">
        <v>2752</v>
      </c>
      <c r="L1100" s="2910"/>
      <c r="M1100" s="2266" t="s">
        <v>2753</v>
      </c>
      <c r="N1100" s="2266" t="s">
        <v>2754</v>
      </c>
      <c r="O1100" s="2266" t="s">
        <v>2755</v>
      </c>
      <c r="P1100" s="2267" t="s">
        <v>2756</v>
      </c>
      <c r="Q1100" s="2267" t="s">
        <v>2757</v>
      </c>
      <c r="R1100" s="2267" t="s">
        <v>2758</v>
      </c>
      <c r="S1100" s="2266" t="s">
        <v>623</v>
      </c>
      <c r="T1100" s="2266" t="s">
        <v>2759</v>
      </c>
      <c r="U1100" s="2266" t="s">
        <v>2760</v>
      </c>
      <c r="V1100" s="2266" t="s">
        <v>2761</v>
      </c>
    </row>
    <row r="1101" spans="3:22" ht="45">
      <c r="C1101" s="2316"/>
      <c r="D1101" s="2268">
        <v>1</v>
      </c>
      <c r="E1101" s="2882" t="s">
        <v>3086</v>
      </c>
      <c r="F1101" s="2905"/>
      <c r="G1101" s="2905"/>
      <c r="H1101" s="2906"/>
      <c r="I1101" s="2882" t="s">
        <v>1077</v>
      </c>
      <c r="J1101" s="2906"/>
      <c r="K1101" s="2882" t="s">
        <v>2762</v>
      </c>
      <c r="L1101" s="2906"/>
      <c r="M1101" s="2268" t="s">
        <v>2763</v>
      </c>
      <c r="N1101" s="2268" t="s">
        <v>2764</v>
      </c>
      <c r="O1101" s="2268" t="s">
        <v>2765</v>
      </c>
      <c r="P1101" s="2269">
        <v>100000</v>
      </c>
      <c r="Q1101" s="2270" t="s">
        <v>2766</v>
      </c>
      <c r="R1101" s="2270">
        <v>100000</v>
      </c>
      <c r="S1101" s="2268"/>
      <c r="T1101" s="2268" t="s">
        <v>2767</v>
      </c>
      <c r="U1101" s="2268" t="s">
        <v>2768</v>
      </c>
      <c r="V1101" s="2268"/>
    </row>
    <row r="1102" spans="3:22" ht="15.75">
      <c r="C1102" s="2316"/>
      <c r="D1102" s="2271" t="s">
        <v>676</v>
      </c>
      <c r="E1102" s="2888" t="s">
        <v>676</v>
      </c>
      <c r="F1102" s="2907"/>
      <c r="G1102" s="2907"/>
      <c r="H1102" s="2908"/>
      <c r="I1102" s="2888" t="s">
        <v>676</v>
      </c>
      <c r="J1102" s="2908"/>
      <c r="K1102" s="2888" t="s">
        <v>676</v>
      </c>
      <c r="L1102" s="2908"/>
      <c r="M1102" s="2271" t="s">
        <v>676</v>
      </c>
      <c r="N1102" s="2271" t="s">
        <v>676</v>
      </c>
      <c r="O1102" s="2271" t="s">
        <v>676</v>
      </c>
      <c r="P1102" s="2272" t="s">
        <v>676</v>
      </c>
      <c r="Q1102" s="2270" t="s">
        <v>2769</v>
      </c>
      <c r="R1102" s="2270">
        <v>0</v>
      </c>
      <c r="S1102" s="2271" t="s">
        <v>676</v>
      </c>
      <c r="T1102" s="2271" t="s">
        <v>676</v>
      </c>
      <c r="U1102" s="2271" t="s">
        <v>676</v>
      </c>
      <c r="V1102" s="2271" t="s">
        <v>676</v>
      </c>
    </row>
    <row r="1103" spans="3:22" ht="15.75">
      <c r="C1103" s="2316"/>
      <c r="D1103" s="2271" t="s">
        <v>676</v>
      </c>
      <c r="E1103" s="2891" t="s">
        <v>676</v>
      </c>
      <c r="F1103" s="2907"/>
      <c r="G1103" s="2907"/>
      <c r="H1103" s="2908"/>
      <c r="I1103" s="2892" t="s">
        <v>676</v>
      </c>
      <c r="J1103" s="2907"/>
      <c r="K1103" s="2888" t="s">
        <v>676</v>
      </c>
      <c r="L1103" s="2908"/>
      <c r="M1103" s="2271" t="s">
        <v>676</v>
      </c>
      <c r="N1103" s="2271" t="s">
        <v>676</v>
      </c>
      <c r="O1103" s="2271" t="s">
        <v>676</v>
      </c>
      <c r="P1103" s="2272" t="s">
        <v>676</v>
      </c>
      <c r="Q1103" s="2270" t="s">
        <v>2770</v>
      </c>
      <c r="R1103" s="2270">
        <v>0</v>
      </c>
      <c r="S1103" s="2271" t="s">
        <v>676</v>
      </c>
      <c r="T1103" s="2271" t="s">
        <v>676</v>
      </c>
      <c r="U1103" s="2271" t="s">
        <v>676</v>
      </c>
      <c r="V1103" s="2271" t="s">
        <v>676</v>
      </c>
    </row>
    <row r="1104" spans="3:22" ht="45">
      <c r="C1104" s="2316"/>
      <c r="D1104" s="2268">
        <v>2</v>
      </c>
      <c r="E1104" s="2882" t="s">
        <v>3087</v>
      </c>
      <c r="F1104" s="2905"/>
      <c r="G1104" s="2905"/>
      <c r="H1104" s="2906"/>
      <c r="I1104" s="2882" t="s">
        <v>1066</v>
      </c>
      <c r="J1104" s="2906"/>
      <c r="K1104" s="2882" t="s">
        <v>2762</v>
      </c>
      <c r="L1104" s="2906"/>
      <c r="M1104" s="2268" t="s">
        <v>2763</v>
      </c>
      <c r="N1104" s="2268" t="s">
        <v>2775</v>
      </c>
      <c r="O1104" s="2268" t="s">
        <v>2776</v>
      </c>
      <c r="P1104" s="2269">
        <v>150000</v>
      </c>
      <c r="Q1104" s="2270" t="s">
        <v>2766</v>
      </c>
      <c r="R1104" s="2270">
        <v>150000</v>
      </c>
      <c r="S1104" s="2268" t="s">
        <v>688</v>
      </c>
      <c r="T1104" s="2268" t="s">
        <v>2767</v>
      </c>
      <c r="U1104" s="2268" t="s">
        <v>2768</v>
      </c>
      <c r="V1104" s="2268"/>
    </row>
    <row r="1105" spans="3:22" ht="15.75">
      <c r="C1105" s="2316"/>
      <c r="D1105" s="2271" t="s">
        <v>676</v>
      </c>
      <c r="E1105" s="2888" t="s">
        <v>676</v>
      </c>
      <c r="F1105" s="2907"/>
      <c r="G1105" s="2907"/>
      <c r="H1105" s="2908"/>
      <c r="I1105" s="2888" t="s">
        <v>676</v>
      </c>
      <c r="J1105" s="2908"/>
      <c r="K1105" s="2888" t="s">
        <v>676</v>
      </c>
      <c r="L1105" s="2908"/>
      <c r="M1105" s="2271" t="s">
        <v>676</v>
      </c>
      <c r="N1105" s="2271" t="s">
        <v>676</v>
      </c>
      <c r="O1105" s="2271" t="s">
        <v>676</v>
      </c>
      <c r="P1105" s="2272" t="s">
        <v>676</v>
      </c>
      <c r="Q1105" s="2270" t="s">
        <v>2769</v>
      </c>
      <c r="R1105" s="2270">
        <v>0</v>
      </c>
      <c r="S1105" s="2271" t="s">
        <v>676</v>
      </c>
      <c r="T1105" s="2271" t="s">
        <v>676</v>
      </c>
      <c r="U1105" s="2271" t="s">
        <v>676</v>
      </c>
      <c r="V1105" s="2271" t="s">
        <v>676</v>
      </c>
    </row>
    <row r="1106" spans="3:22" ht="15.75">
      <c r="C1106" s="2316"/>
      <c r="D1106" s="2271" t="s">
        <v>676</v>
      </c>
      <c r="E1106" s="2891" t="s">
        <v>676</v>
      </c>
      <c r="F1106" s="2907"/>
      <c r="G1106" s="2907"/>
      <c r="H1106" s="2908"/>
      <c r="I1106" s="2892" t="s">
        <v>676</v>
      </c>
      <c r="J1106" s="2907"/>
      <c r="K1106" s="2888" t="s">
        <v>676</v>
      </c>
      <c r="L1106" s="2908"/>
      <c r="M1106" s="2271" t="s">
        <v>676</v>
      </c>
      <c r="N1106" s="2271" t="s">
        <v>676</v>
      </c>
      <c r="O1106" s="2271" t="s">
        <v>676</v>
      </c>
      <c r="P1106" s="2272" t="s">
        <v>676</v>
      </c>
      <c r="Q1106" s="2270" t="s">
        <v>2770</v>
      </c>
      <c r="R1106" s="2270">
        <v>0</v>
      </c>
      <c r="S1106" s="2271" t="s">
        <v>676</v>
      </c>
      <c r="T1106" s="2271" t="s">
        <v>676</v>
      </c>
      <c r="U1106" s="2271" t="s">
        <v>676</v>
      </c>
      <c r="V1106" s="2271" t="s">
        <v>676</v>
      </c>
    </row>
    <row r="1107" spans="3:22" ht="45">
      <c r="C1107" s="2316"/>
      <c r="D1107" s="2268">
        <v>3</v>
      </c>
      <c r="E1107" s="2882" t="s">
        <v>3088</v>
      </c>
      <c r="F1107" s="2905"/>
      <c r="G1107" s="2905"/>
      <c r="H1107" s="2906"/>
      <c r="I1107" s="2882" t="s">
        <v>3089</v>
      </c>
      <c r="J1107" s="2906"/>
      <c r="K1107" s="2882" t="s">
        <v>2762</v>
      </c>
      <c r="L1107" s="2906"/>
      <c r="M1107" s="2268" t="s">
        <v>2763</v>
      </c>
      <c r="N1107" s="2268" t="s">
        <v>2775</v>
      </c>
      <c r="O1107" s="2268" t="s">
        <v>2765</v>
      </c>
      <c r="P1107" s="2269">
        <v>100000</v>
      </c>
      <c r="Q1107" s="2270" t="s">
        <v>2766</v>
      </c>
      <c r="R1107" s="2270">
        <v>100000</v>
      </c>
      <c r="S1107" s="2268"/>
      <c r="T1107" s="2268" t="s">
        <v>2767</v>
      </c>
      <c r="U1107" s="2268" t="s">
        <v>2768</v>
      </c>
      <c r="V1107" s="2268"/>
    </row>
    <row r="1108" spans="3:22" ht="15.75">
      <c r="C1108" s="2316"/>
      <c r="D1108" s="2271" t="s">
        <v>676</v>
      </c>
      <c r="E1108" s="2888" t="s">
        <v>676</v>
      </c>
      <c r="F1108" s="2907"/>
      <c r="G1108" s="2907"/>
      <c r="H1108" s="2908"/>
      <c r="I1108" s="2888" t="s">
        <v>676</v>
      </c>
      <c r="J1108" s="2908"/>
      <c r="K1108" s="2888" t="s">
        <v>676</v>
      </c>
      <c r="L1108" s="2908"/>
      <c r="M1108" s="2271" t="s">
        <v>676</v>
      </c>
      <c r="N1108" s="2271" t="s">
        <v>676</v>
      </c>
      <c r="O1108" s="2271" t="s">
        <v>676</v>
      </c>
      <c r="P1108" s="2272" t="s">
        <v>676</v>
      </c>
      <c r="Q1108" s="2270" t="s">
        <v>2769</v>
      </c>
      <c r="R1108" s="2270">
        <v>0</v>
      </c>
      <c r="S1108" s="2271" t="s">
        <v>676</v>
      </c>
      <c r="T1108" s="2271" t="s">
        <v>676</v>
      </c>
      <c r="U1108" s="2271" t="s">
        <v>676</v>
      </c>
      <c r="V1108" s="2271" t="s">
        <v>676</v>
      </c>
    </row>
    <row r="1109" spans="3:22" ht="15.75">
      <c r="C1109" s="2316"/>
      <c r="D1109" s="2271" t="s">
        <v>676</v>
      </c>
      <c r="E1109" s="2891" t="s">
        <v>676</v>
      </c>
      <c r="F1109" s="2907"/>
      <c r="G1109" s="2907"/>
      <c r="H1109" s="2908"/>
      <c r="I1109" s="2892" t="s">
        <v>676</v>
      </c>
      <c r="J1109" s="2907"/>
      <c r="K1109" s="2888" t="s">
        <v>676</v>
      </c>
      <c r="L1109" s="2908"/>
      <c r="M1109" s="2271" t="s">
        <v>676</v>
      </c>
      <c r="N1109" s="2271" t="s">
        <v>676</v>
      </c>
      <c r="O1109" s="2271" t="s">
        <v>676</v>
      </c>
      <c r="P1109" s="2272" t="s">
        <v>676</v>
      </c>
      <c r="Q1109" s="2270" t="s">
        <v>2770</v>
      </c>
      <c r="R1109" s="2270">
        <v>0</v>
      </c>
      <c r="S1109" s="2271" t="s">
        <v>676</v>
      </c>
      <c r="T1109" s="2271" t="s">
        <v>676</v>
      </c>
      <c r="U1109" s="2271" t="s">
        <v>676</v>
      </c>
      <c r="V1109" s="2271" t="s">
        <v>676</v>
      </c>
    </row>
    <row r="1110" spans="3:22" ht="45">
      <c r="C1110" s="2316"/>
      <c r="D1110" s="2268">
        <v>4</v>
      </c>
      <c r="E1110" s="2882" t="s">
        <v>3090</v>
      </c>
      <c r="F1110" s="2905"/>
      <c r="G1110" s="2905"/>
      <c r="H1110" s="2906"/>
      <c r="I1110" s="2882" t="s">
        <v>687</v>
      </c>
      <c r="J1110" s="2906"/>
      <c r="K1110" s="2882" t="s">
        <v>2762</v>
      </c>
      <c r="L1110" s="2906"/>
      <c r="M1110" s="2268" t="s">
        <v>2763</v>
      </c>
      <c r="N1110" s="2268" t="s">
        <v>2775</v>
      </c>
      <c r="O1110" s="2268" t="s">
        <v>2776</v>
      </c>
      <c r="P1110" s="2269">
        <v>150000</v>
      </c>
      <c r="Q1110" s="2270" t="s">
        <v>2766</v>
      </c>
      <c r="R1110" s="2270">
        <v>150000</v>
      </c>
      <c r="S1110" s="2268" t="s">
        <v>688</v>
      </c>
      <c r="T1110" s="2268" t="s">
        <v>2767</v>
      </c>
      <c r="U1110" s="2268" t="s">
        <v>2768</v>
      </c>
      <c r="V1110" s="2268"/>
    </row>
    <row r="1111" spans="3:22" ht="15.75">
      <c r="C1111" s="2316"/>
      <c r="D1111" s="2271" t="s">
        <v>676</v>
      </c>
      <c r="E1111" s="2888" t="s">
        <v>676</v>
      </c>
      <c r="F1111" s="2907"/>
      <c r="G1111" s="2907"/>
      <c r="H1111" s="2908"/>
      <c r="I1111" s="2888" t="s">
        <v>676</v>
      </c>
      <c r="J1111" s="2908"/>
      <c r="K1111" s="2888" t="s">
        <v>676</v>
      </c>
      <c r="L1111" s="2908"/>
      <c r="M1111" s="2271" t="s">
        <v>676</v>
      </c>
      <c r="N1111" s="2271" t="s">
        <v>676</v>
      </c>
      <c r="O1111" s="2271" t="s">
        <v>676</v>
      </c>
      <c r="P1111" s="2272" t="s">
        <v>676</v>
      </c>
      <c r="Q1111" s="2270" t="s">
        <v>2769</v>
      </c>
      <c r="R1111" s="2270">
        <v>0</v>
      </c>
      <c r="S1111" s="2271" t="s">
        <v>676</v>
      </c>
      <c r="T1111" s="2271" t="s">
        <v>676</v>
      </c>
      <c r="U1111" s="2271" t="s">
        <v>676</v>
      </c>
      <c r="V1111" s="2271" t="s">
        <v>676</v>
      </c>
    </row>
    <row r="1112" spans="3:22" ht="15.75">
      <c r="C1112" s="2316"/>
      <c r="D1112" s="2271" t="s">
        <v>676</v>
      </c>
      <c r="E1112" s="2891" t="s">
        <v>676</v>
      </c>
      <c r="F1112" s="2907"/>
      <c r="G1112" s="2907"/>
      <c r="H1112" s="2908"/>
      <c r="I1112" s="2892" t="s">
        <v>676</v>
      </c>
      <c r="J1112" s="2907"/>
      <c r="K1112" s="2888" t="s">
        <v>676</v>
      </c>
      <c r="L1112" s="2908"/>
      <c r="M1112" s="2271" t="s">
        <v>676</v>
      </c>
      <c r="N1112" s="2271" t="s">
        <v>676</v>
      </c>
      <c r="O1112" s="2271" t="s">
        <v>676</v>
      </c>
      <c r="P1112" s="2272" t="s">
        <v>676</v>
      </c>
      <c r="Q1112" s="2270" t="s">
        <v>2770</v>
      </c>
      <c r="R1112" s="2270">
        <v>0</v>
      </c>
      <c r="S1112" s="2271" t="s">
        <v>676</v>
      </c>
      <c r="T1112" s="2271" t="s">
        <v>676</v>
      </c>
      <c r="U1112" s="2271" t="s">
        <v>676</v>
      </c>
      <c r="V1112" s="2271" t="s">
        <v>676</v>
      </c>
    </row>
    <row r="1113" spans="3:22" ht="45">
      <c r="C1113" s="2316"/>
      <c r="D1113" s="2268">
        <v>5</v>
      </c>
      <c r="E1113" s="2882" t="s">
        <v>3091</v>
      </c>
      <c r="F1113" s="2905"/>
      <c r="G1113" s="2905"/>
      <c r="H1113" s="2906"/>
      <c r="I1113" s="2882" t="s">
        <v>727</v>
      </c>
      <c r="J1113" s="2906"/>
      <c r="K1113" s="2882" t="s">
        <v>2762</v>
      </c>
      <c r="L1113" s="2906"/>
      <c r="M1113" s="2268" t="s">
        <v>2763</v>
      </c>
      <c r="N1113" s="2268" t="s">
        <v>2764</v>
      </c>
      <c r="O1113" s="2268" t="s">
        <v>2765</v>
      </c>
      <c r="P1113" s="2269">
        <v>100000</v>
      </c>
      <c r="Q1113" s="2270" t="s">
        <v>2766</v>
      </c>
      <c r="R1113" s="2270">
        <v>100000</v>
      </c>
      <c r="S1113" s="2268"/>
      <c r="T1113" s="2268" t="s">
        <v>2767</v>
      </c>
      <c r="U1113" s="2268" t="s">
        <v>2768</v>
      </c>
      <c r="V1113" s="2268"/>
    </row>
    <row r="1114" spans="3:22" ht="15.75">
      <c r="C1114" s="2316"/>
      <c r="D1114" s="2271" t="s">
        <v>676</v>
      </c>
      <c r="E1114" s="2888" t="s">
        <v>676</v>
      </c>
      <c r="F1114" s="2907"/>
      <c r="G1114" s="2907"/>
      <c r="H1114" s="2908"/>
      <c r="I1114" s="2888" t="s">
        <v>676</v>
      </c>
      <c r="J1114" s="2908"/>
      <c r="K1114" s="2888" t="s">
        <v>676</v>
      </c>
      <c r="L1114" s="2908"/>
      <c r="M1114" s="2271" t="s">
        <v>676</v>
      </c>
      <c r="N1114" s="2271" t="s">
        <v>676</v>
      </c>
      <c r="O1114" s="2271" t="s">
        <v>676</v>
      </c>
      <c r="P1114" s="2272" t="s">
        <v>676</v>
      </c>
      <c r="Q1114" s="2270" t="s">
        <v>2769</v>
      </c>
      <c r="R1114" s="2270">
        <v>0</v>
      </c>
      <c r="S1114" s="2271" t="s">
        <v>676</v>
      </c>
      <c r="T1114" s="2271" t="s">
        <v>676</v>
      </c>
      <c r="U1114" s="2271" t="s">
        <v>676</v>
      </c>
      <c r="V1114" s="2271" t="s">
        <v>676</v>
      </c>
    </row>
    <row r="1115" spans="3:22" ht="15.75">
      <c r="C1115" s="2316"/>
      <c r="D1115" s="2271" t="s">
        <v>676</v>
      </c>
      <c r="E1115" s="2891" t="s">
        <v>676</v>
      </c>
      <c r="F1115" s="2907"/>
      <c r="G1115" s="2907"/>
      <c r="H1115" s="2908"/>
      <c r="I1115" s="2892" t="s">
        <v>676</v>
      </c>
      <c r="J1115" s="2907"/>
      <c r="K1115" s="2888" t="s">
        <v>676</v>
      </c>
      <c r="L1115" s="2908"/>
      <c r="M1115" s="2271" t="s">
        <v>676</v>
      </c>
      <c r="N1115" s="2271" t="s">
        <v>676</v>
      </c>
      <c r="O1115" s="2271" t="s">
        <v>676</v>
      </c>
      <c r="P1115" s="2272" t="s">
        <v>676</v>
      </c>
      <c r="Q1115" s="2270" t="s">
        <v>2770</v>
      </c>
      <c r="R1115" s="2270">
        <v>0</v>
      </c>
      <c r="S1115" s="2271" t="s">
        <v>676</v>
      </c>
      <c r="T1115" s="2271" t="s">
        <v>676</v>
      </c>
      <c r="U1115" s="2271" t="s">
        <v>676</v>
      </c>
      <c r="V1115" s="2271" t="s">
        <v>676</v>
      </c>
    </row>
    <row r="1116" spans="3:22" ht="45">
      <c r="C1116" s="2316"/>
      <c r="D1116" s="2268">
        <v>6</v>
      </c>
      <c r="E1116" s="2882" t="s">
        <v>2875</v>
      </c>
      <c r="F1116" s="2905"/>
      <c r="G1116" s="2905"/>
      <c r="H1116" s="2906"/>
      <c r="I1116" s="2882" t="s">
        <v>1212</v>
      </c>
      <c r="J1116" s="2906"/>
      <c r="K1116" s="2882" t="s">
        <v>2762</v>
      </c>
      <c r="L1116" s="2906"/>
      <c r="M1116" s="2268" t="s">
        <v>2763</v>
      </c>
      <c r="N1116" s="2268" t="s">
        <v>2775</v>
      </c>
      <c r="O1116" s="2268" t="s">
        <v>2765</v>
      </c>
      <c r="P1116" s="2269">
        <v>100000</v>
      </c>
      <c r="Q1116" s="2270" t="s">
        <v>2766</v>
      </c>
      <c r="R1116" s="2270">
        <v>100000</v>
      </c>
      <c r="S1116" s="2268"/>
      <c r="T1116" s="2268" t="s">
        <v>2767</v>
      </c>
      <c r="U1116" s="2268" t="s">
        <v>2768</v>
      </c>
      <c r="V1116" s="2268"/>
    </row>
    <row r="1117" spans="3:22" ht="15.75">
      <c r="C1117" s="2316"/>
      <c r="D1117" s="2271" t="s">
        <v>676</v>
      </c>
      <c r="E1117" s="2888" t="s">
        <v>676</v>
      </c>
      <c r="F1117" s="2907"/>
      <c r="G1117" s="2907"/>
      <c r="H1117" s="2908"/>
      <c r="I1117" s="2888" t="s">
        <v>676</v>
      </c>
      <c r="J1117" s="2908"/>
      <c r="K1117" s="2888" t="s">
        <v>676</v>
      </c>
      <c r="L1117" s="2908"/>
      <c r="M1117" s="2271" t="s">
        <v>676</v>
      </c>
      <c r="N1117" s="2271" t="s">
        <v>676</v>
      </c>
      <c r="O1117" s="2271" t="s">
        <v>676</v>
      </c>
      <c r="P1117" s="2272" t="s">
        <v>676</v>
      </c>
      <c r="Q1117" s="2270" t="s">
        <v>2769</v>
      </c>
      <c r="R1117" s="2270">
        <v>0</v>
      </c>
      <c r="S1117" s="2271" t="s">
        <v>676</v>
      </c>
      <c r="T1117" s="2271" t="s">
        <v>676</v>
      </c>
      <c r="U1117" s="2271" t="s">
        <v>676</v>
      </c>
      <c r="V1117" s="2271" t="s">
        <v>676</v>
      </c>
    </row>
    <row r="1118" spans="3:22" ht="15.75">
      <c r="C1118" s="2316"/>
      <c r="D1118" s="2271" t="s">
        <v>676</v>
      </c>
      <c r="E1118" s="2891" t="s">
        <v>676</v>
      </c>
      <c r="F1118" s="2907"/>
      <c r="G1118" s="2907"/>
      <c r="H1118" s="2908"/>
      <c r="I1118" s="2892" t="s">
        <v>676</v>
      </c>
      <c r="J1118" s="2907"/>
      <c r="K1118" s="2888" t="s">
        <v>676</v>
      </c>
      <c r="L1118" s="2908"/>
      <c r="M1118" s="2271" t="s">
        <v>676</v>
      </c>
      <c r="N1118" s="2271" t="s">
        <v>676</v>
      </c>
      <c r="O1118" s="2271" t="s">
        <v>676</v>
      </c>
      <c r="P1118" s="2272" t="s">
        <v>676</v>
      </c>
      <c r="Q1118" s="2270" t="s">
        <v>2770</v>
      </c>
      <c r="R1118" s="2270">
        <v>0</v>
      </c>
      <c r="S1118" s="2271" t="s">
        <v>676</v>
      </c>
      <c r="T1118" s="2271" t="s">
        <v>676</v>
      </c>
      <c r="U1118" s="2271" t="s">
        <v>676</v>
      </c>
      <c r="V1118" s="2271" t="s">
        <v>676</v>
      </c>
    </row>
    <row r="1119" spans="3:22" ht="45">
      <c r="C1119" s="2316"/>
      <c r="D1119" s="2268">
        <v>7</v>
      </c>
      <c r="E1119" s="2882" t="s">
        <v>3092</v>
      </c>
      <c r="F1119" s="2905"/>
      <c r="G1119" s="2905"/>
      <c r="H1119" s="2906"/>
      <c r="I1119" s="2882" t="s">
        <v>3093</v>
      </c>
      <c r="J1119" s="2906"/>
      <c r="K1119" s="2882" t="s">
        <v>2762</v>
      </c>
      <c r="L1119" s="2906"/>
      <c r="M1119" s="2268" t="s">
        <v>2763</v>
      </c>
      <c r="N1119" s="2268" t="s">
        <v>2775</v>
      </c>
      <c r="O1119" s="2268" t="s">
        <v>2765</v>
      </c>
      <c r="P1119" s="2269">
        <v>100000</v>
      </c>
      <c r="Q1119" s="2270" t="s">
        <v>2766</v>
      </c>
      <c r="R1119" s="2270">
        <v>100000</v>
      </c>
      <c r="S1119" s="2268"/>
      <c r="T1119" s="2268" t="s">
        <v>2767</v>
      </c>
      <c r="U1119" s="2268" t="s">
        <v>2768</v>
      </c>
      <c r="V1119" s="2268"/>
    </row>
    <row r="1120" spans="3:22" ht="15.75">
      <c r="C1120" s="2316"/>
      <c r="D1120" s="2271" t="s">
        <v>676</v>
      </c>
      <c r="E1120" s="2888" t="s">
        <v>676</v>
      </c>
      <c r="F1120" s="2907"/>
      <c r="G1120" s="2907"/>
      <c r="H1120" s="2908"/>
      <c r="I1120" s="2888" t="s">
        <v>676</v>
      </c>
      <c r="J1120" s="2908"/>
      <c r="K1120" s="2888" t="s">
        <v>676</v>
      </c>
      <c r="L1120" s="2908"/>
      <c r="M1120" s="2271" t="s">
        <v>676</v>
      </c>
      <c r="N1120" s="2271" t="s">
        <v>676</v>
      </c>
      <c r="O1120" s="2271" t="s">
        <v>676</v>
      </c>
      <c r="P1120" s="2272" t="s">
        <v>676</v>
      </c>
      <c r="Q1120" s="2270" t="s">
        <v>2769</v>
      </c>
      <c r="R1120" s="2270">
        <v>0</v>
      </c>
      <c r="S1120" s="2271" t="s">
        <v>676</v>
      </c>
      <c r="T1120" s="2271" t="s">
        <v>676</v>
      </c>
      <c r="U1120" s="2271" t="s">
        <v>676</v>
      </c>
      <c r="V1120" s="2271" t="s">
        <v>676</v>
      </c>
    </row>
    <row r="1121" spans="3:22" ht="15.75">
      <c r="C1121" s="2316"/>
      <c r="D1121" s="2271" t="s">
        <v>676</v>
      </c>
      <c r="E1121" s="2891" t="s">
        <v>676</v>
      </c>
      <c r="F1121" s="2907"/>
      <c r="G1121" s="2907"/>
      <c r="H1121" s="2908"/>
      <c r="I1121" s="2892" t="s">
        <v>676</v>
      </c>
      <c r="J1121" s="2907"/>
      <c r="K1121" s="2888" t="s">
        <v>676</v>
      </c>
      <c r="L1121" s="2908"/>
      <c r="M1121" s="2271" t="s">
        <v>676</v>
      </c>
      <c r="N1121" s="2271" t="s">
        <v>676</v>
      </c>
      <c r="O1121" s="2271" t="s">
        <v>676</v>
      </c>
      <c r="P1121" s="2272" t="s">
        <v>676</v>
      </c>
      <c r="Q1121" s="2270" t="s">
        <v>2770</v>
      </c>
      <c r="R1121" s="2270">
        <v>0</v>
      </c>
      <c r="S1121" s="2271" t="s">
        <v>676</v>
      </c>
      <c r="T1121" s="2271" t="s">
        <v>676</v>
      </c>
      <c r="U1121" s="2271" t="s">
        <v>676</v>
      </c>
      <c r="V1121" s="2271" t="s">
        <v>676</v>
      </c>
    </row>
    <row r="1122" spans="3:22" ht="45">
      <c r="C1122" s="2316"/>
      <c r="D1122" s="2268">
        <v>8</v>
      </c>
      <c r="E1122" s="2882" t="s">
        <v>3094</v>
      </c>
      <c r="F1122" s="2905"/>
      <c r="G1122" s="2905"/>
      <c r="H1122" s="2906"/>
      <c r="I1122" s="2882" t="s">
        <v>3095</v>
      </c>
      <c r="J1122" s="2906"/>
      <c r="K1122" s="2882" t="s">
        <v>2762</v>
      </c>
      <c r="L1122" s="2906"/>
      <c r="M1122" s="2268" t="s">
        <v>2763</v>
      </c>
      <c r="N1122" s="2268" t="s">
        <v>2764</v>
      </c>
      <c r="O1122" s="2268" t="s">
        <v>2765</v>
      </c>
      <c r="P1122" s="2269">
        <v>100000</v>
      </c>
      <c r="Q1122" s="2270" t="s">
        <v>2766</v>
      </c>
      <c r="R1122" s="2270">
        <v>100000</v>
      </c>
      <c r="S1122" s="2268"/>
      <c r="T1122" s="2268" t="s">
        <v>2767</v>
      </c>
      <c r="U1122" s="2268" t="s">
        <v>2768</v>
      </c>
      <c r="V1122" s="2268"/>
    </row>
    <row r="1123" spans="3:22" ht="15.75">
      <c r="C1123" s="2316"/>
      <c r="D1123" s="2271" t="s">
        <v>676</v>
      </c>
      <c r="E1123" s="2888" t="s">
        <v>676</v>
      </c>
      <c r="F1123" s="2907"/>
      <c r="G1123" s="2907"/>
      <c r="H1123" s="2908"/>
      <c r="I1123" s="2888" t="s">
        <v>676</v>
      </c>
      <c r="J1123" s="2908"/>
      <c r="K1123" s="2888" t="s">
        <v>676</v>
      </c>
      <c r="L1123" s="2908"/>
      <c r="M1123" s="2271" t="s">
        <v>676</v>
      </c>
      <c r="N1123" s="2271" t="s">
        <v>676</v>
      </c>
      <c r="O1123" s="2271" t="s">
        <v>676</v>
      </c>
      <c r="P1123" s="2272" t="s">
        <v>676</v>
      </c>
      <c r="Q1123" s="2270" t="s">
        <v>2769</v>
      </c>
      <c r="R1123" s="2270">
        <v>0</v>
      </c>
      <c r="S1123" s="2271" t="s">
        <v>676</v>
      </c>
      <c r="T1123" s="2271" t="s">
        <v>676</v>
      </c>
      <c r="U1123" s="2271" t="s">
        <v>676</v>
      </c>
      <c r="V1123" s="2271" t="s">
        <v>676</v>
      </c>
    </row>
    <row r="1124" spans="3:22" ht="15.75">
      <c r="C1124" s="2316"/>
      <c r="D1124" s="2271" t="s">
        <v>676</v>
      </c>
      <c r="E1124" s="2891" t="s">
        <v>676</v>
      </c>
      <c r="F1124" s="2907"/>
      <c r="G1124" s="2907"/>
      <c r="H1124" s="2908"/>
      <c r="I1124" s="2892" t="s">
        <v>676</v>
      </c>
      <c r="J1124" s="2907"/>
      <c r="K1124" s="2888" t="s">
        <v>676</v>
      </c>
      <c r="L1124" s="2908"/>
      <c r="M1124" s="2271" t="s">
        <v>676</v>
      </c>
      <c r="N1124" s="2271" t="s">
        <v>676</v>
      </c>
      <c r="O1124" s="2271" t="s">
        <v>676</v>
      </c>
      <c r="P1124" s="2272" t="s">
        <v>676</v>
      </c>
      <c r="Q1124" s="2270" t="s">
        <v>2770</v>
      </c>
      <c r="R1124" s="2270">
        <v>0</v>
      </c>
      <c r="S1124" s="2271" t="s">
        <v>676</v>
      </c>
      <c r="T1124" s="2271" t="s">
        <v>676</v>
      </c>
      <c r="U1124" s="2271" t="s">
        <v>676</v>
      </c>
      <c r="V1124" s="2271" t="s">
        <v>676</v>
      </c>
    </row>
    <row r="1125" spans="3:22" ht="45">
      <c r="C1125" s="2316"/>
      <c r="D1125" s="2268">
        <v>9</v>
      </c>
      <c r="E1125" s="2882" t="s">
        <v>1542</v>
      </c>
      <c r="F1125" s="2905"/>
      <c r="G1125" s="2905"/>
      <c r="H1125" s="2906"/>
      <c r="I1125" s="2882" t="s">
        <v>1351</v>
      </c>
      <c r="J1125" s="2906"/>
      <c r="K1125" s="2882" t="s">
        <v>2762</v>
      </c>
      <c r="L1125" s="2906"/>
      <c r="M1125" s="2268" t="s">
        <v>2763</v>
      </c>
      <c r="N1125" s="2268" t="s">
        <v>2775</v>
      </c>
      <c r="O1125" s="2268" t="s">
        <v>2765</v>
      </c>
      <c r="P1125" s="2269">
        <v>100000</v>
      </c>
      <c r="Q1125" s="2270" t="s">
        <v>2766</v>
      </c>
      <c r="R1125" s="2270">
        <v>100000</v>
      </c>
      <c r="S1125" s="2268"/>
      <c r="T1125" s="2268" t="s">
        <v>2767</v>
      </c>
      <c r="U1125" s="2268" t="s">
        <v>2768</v>
      </c>
      <c r="V1125" s="2268"/>
    </row>
    <row r="1126" spans="3:22" ht="15.75">
      <c r="C1126" s="2316"/>
      <c r="D1126" s="2271" t="s">
        <v>676</v>
      </c>
      <c r="E1126" s="2888" t="s">
        <v>676</v>
      </c>
      <c r="F1126" s="2907"/>
      <c r="G1126" s="2907"/>
      <c r="H1126" s="2908"/>
      <c r="I1126" s="2888" t="s">
        <v>676</v>
      </c>
      <c r="J1126" s="2908"/>
      <c r="K1126" s="2888" t="s">
        <v>676</v>
      </c>
      <c r="L1126" s="2908"/>
      <c r="M1126" s="2271" t="s">
        <v>676</v>
      </c>
      <c r="N1126" s="2271" t="s">
        <v>676</v>
      </c>
      <c r="O1126" s="2271" t="s">
        <v>676</v>
      </c>
      <c r="P1126" s="2272" t="s">
        <v>676</v>
      </c>
      <c r="Q1126" s="2270" t="s">
        <v>2769</v>
      </c>
      <c r="R1126" s="2270">
        <v>0</v>
      </c>
      <c r="S1126" s="2271" t="s">
        <v>676</v>
      </c>
      <c r="T1126" s="2271" t="s">
        <v>676</v>
      </c>
      <c r="U1126" s="2271" t="s">
        <v>676</v>
      </c>
      <c r="V1126" s="2271" t="s">
        <v>676</v>
      </c>
    </row>
    <row r="1127" spans="3:22" ht="15.75">
      <c r="C1127" s="2316"/>
      <c r="D1127" s="2271" t="s">
        <v>676</v>
      </c>
      <c r="E1127" s="2891" t="s">
        <v>676</v>
      </c>
      <c r="F1127" s="2907"/>
      <c r="G1127" s="2907"/>
      <c r="H1127" s="2908"/>
      <c r="I1127" s="2892" t="s">
        <v>676</v>
      </c>
      <c r="J1127" s="2907"/>
      <c r="K1127" s="2888" t="s">
        <v>676</v>
      </c>
      <c r="L1127" s="2908"/>
      <c r="M1127" s="2271" t="s">
        <v>676</v>
      </c>
      <c r="N1127" s="2271" t="s">
        <v>676</v>
      </c>
      <c r="O1127" s="2271" t="s">
        <v>676</v>
      </c>
      <c r="P1127" s="2272" t="s">
        <v>676</v>
      </c>
      <c r="Q1127" s="2270" t="s">
        <v>2770</v>
      </c>
      <c r="R1127" s="2270">
        <v>0</v>
      </c>
      <c r="S1127" s="2271" t="s">
        <v>676</v>
      </c>
      <c r="T1127" s="2271" t="s">
        <v>676</v>
      </c>
      <c r="U1127" s="2271" t="s">
        <v>676</v>
      </c>
      <c r="V1127" s="2271" t="s">
        <v>676</v>
      </c>
    </row>
    <row r="1128" spans="3:22" ht="45">
      <c r="C1128" s="2316"/>
      <c r="D1128" s="2268">
        <v>10</v>
      </c>
      <c r="E1128" s="2882" t="s">
        <v>1180</v>
      </c>
      <c r="F1128" s="2905"/>
      <c r="G1128" s="2905"/>
      <c r="H1128" s="2906"/>
      <c r="I1128" s="2882" t="s">
        <v>699</v>
      </c>
      <c r="J1128" s="2906"/>
      <c r="K1128" s="2882" t="s">
        <v>2762</v>
      </c>
      <c r="L1128" s="2906"/>
      <c r="M1128" s="2268" t="s">
        <v>2763</v>
      </c>
      <c r="N1128" s="2268" t="s">
        <v>2775</v>
      </c>
      <c r="O1128" s="2268" t="s">
        <v>2765</v>
      </c>
      <c r="P1128" s="2269">
        <v>100000</v>
      </c>
      <c r="Q1128" s="2270" t="s">
        <v>2766</v>
      </c>
      <c r="R1128" s="2270">
        <v>100000</v>
      </c>
      <c r="S1128" s="2268"/>
      <c r="T1128" s="2268" t="s">
        <v>2767</v>
      </c>
      <c r="U1128" s="2268" t="s">
        <v>2768</v>
      </c>
      <c r="V1128" s="2268"/>
    </row>
    <row r="1129" spans="3:22" ht="15.75">
      <c r="C1129" s="2316"/>
      <c r="D1129" s="2271" t="s">
        <v>676</v>
      </c>
      <c r="E1129" s="2888" t="s">
        <v>676</v>
      </c>
      <c r="F1129" s="2907"/>
      <c r="G1129" s="2907"/>
      <c r="H1129" s="2908"/>
      <c r="I1129" s="2888" t="s">
        <v>676</v>
      </c>
      <c r="J1129" s="2908"/>
      <c r="K1129" s="2888" t="s">
        <v>676</v>
      </c>
      <c r="L1129" s="2908"/>
      <c r="M1129" s="2271" t="s">
        <v>676</v>
      </c>
      <c r="N1129" s="2271" t="s">
        <v>676</v>
      </c>
      <c r="O1129" s="2271" t="s">
        <v>676</v>
      </c>
      <c r="P1129" s="2272" t="s">
        <v>676</v>
      </c>
      <c r="Q1129" s="2270" t="s">
        <v>2769</v>
      </c>
      <c r="R1129" s="2270">
        <v>0</v>
      </c>
      <c r="S1129" s="2271" t="s">
        <v>676</v>
      </c>
      <c r="T1129" s="2271" t="s">
        <v>676</v>
      </c>
      <c r="U1129" s="2271" t="s">
        <v>676</v>
      </c>
      <c r="V1129" s="2271" t="s">
        <v>676</v>
      </c>
    </row>
    <row r="1130" spans="3:22" ht="15.75">
      <c r="C1130" s="2316"/>
      <c r="D1130" s="2271" t="s">
        <v>676</v>
      </c>
      <c r="E1130" s="2891" t="s">
        <v>676</v>
      </c>
      <c r="F1130" s="2907"/>
      <c r="G1130" s="2907"/>
      <c r="H1130" s="2908"/>
      <c r="I1130" s="2892" t="s">
        <v>676</v>
      </c>
      <c r="J1130" s="2907"/>
      <c r="K1130" s="2888" t="s">
        <v>676</v>
      </c>
      <c r="L1130" s="2908"/>
      <c r="M1130" s="2271" t="s">
        <v>676</v>
      </c>
      <c r="N1130" s="2271" t="s">
        <v>676</v>
      </c>
      <c r="O1130" s="2271" t="s">
        <v>676</v>
      </c>
      <c r="P1130" s="2272" t="s">
        <v>676</v>
      </c>
      <c r="Q1130" s="2270" t="s">
        <v>2770</v>
      </c>
      <c r="R1130" s="2270">
        <v>0</v>
      </c>
      <c r="S1130" s="2271" t="s">
        <v>676</v>
      </c>
      <c r="T1130" s="2271" t="s">
        <v>676</v>
      </c>
      <c r="U1130" s="2271" t="s">
        <v>676</v>
      </c>
      <c r="V1130" s="2271" t="s">
        <v>676</v>
      </c>
    </row>
    <row r="1131" spans="3:22" ht="45">
      <c r="C1131" s="2316"/>
      <c r="D1131" s="2268">
        <v>11</v>
      </c>
      <c r="E1131" s="2882" t="s">
        <v>3096</v>
      </c>
      <c r="F1131" s="2905"/>
      <c r="G1131" s="2905"/>
      <c r="H1131" s="2906"/>
      <c r="I1131" s="2882" t="s">
        <v>675</v>
      </c>
      <c r="J1131" s="2906"/>
      <c r="K1131" s="2882" t="s">
        <v>2762</v>
      </c>
      <c r="L1131" s="2906"/>
      <c r="M1131" s="2268" t="s">
        <v>2763</v>
      </c>
      <c r="N1131" s="2268" t="s">
        <v>2775</v>
      </c>
      <c r="O1131" s="2268" t="s">
        <v>2765</v>
      </c>
      <c r="P1131" s="2269">
        <v>100000</v>
      </c>
      <c r="Q1131" s="2270" t="s">
        <v>2766</v>
      </c>
      <c r="R1131" s="2270">
        <v>100000</v>
      </c>
      <c r="S1131" s="2268"/>
      <c r="T1131" s="2268" t="s">
        <v>2767</v>
      </c>
      <c r="U1131" s="2268" t="s">
        <v>2768</v>
      </c>
      <c r="V1131" s="2268"/>
    </row>
    <row r="1132" spans="3:22" ht="15.75">
      <c r="C1132" s="2316"/>
      <c r="D1132" s="2271" t="s">
        <v>676</v>
      </c>
      <c r="E1132" s="2888" t="s">
        <v>676</v>
      </c>
      <c r="F1132" s="2907"/>
      <c r="G1132" s="2907"/>
      <c r="H1132" s="2908"/>
      <c r="I1132" s="2888" t="s">
        <v>676</v>
      </c>
      <c r="J1132" s="2908"/>
      <c r="K1132" s="2888" t="s">
        <v>676</v>
      </c>
      <c r="L1132" s="2908"/>
      <c r="M1132" s="2271" t="s">
        <v>676</v>
      </c>
      <c r="N1132" s="2271" t="s">
        <v>676</v>
      </c>
      <c r="O1132" s="2271" t="s">
        <v>676</v>
      </c>
      <c r="P1132" s="2272" t="s">
        <v>676</v>
      </c>
      <c r="Q1132" s="2270" t="s">
        <v>2769</v>
      </c>
      <c r="R1132" s="2270">
        <v>0</v>
      </c>
      <c r="S1132" s="2271" t="s">
        <v>676</v>
      </c>
      <c r="T1132" s="2271" t="s">
        <v>676</v>
      </c>
      <c r="U1132" s="2271" t="s">
        <v>676</v>
      </c>
      <c r="V1132" s="2271" t="s">
        <v>676</v>
      </c>
    </row>
    <row r="1133" spans="3:22" ht="15.75">
      <c r="C1133" s="2316"/>
      <c r="D1133" s="2273" t="s">
        <v>676</v>
      </c>
      <c r="E1133" s="2896" t="s">
        <v>676</v>
      </c>
      <c r="F1133" s="2897"/>
      <c r="G1133" s="2897"/>
      <c r="H1133" s="2898"/>
      <c r="I1133" s="2899" t="s">
        <v>676</v>
      </c>
      <c r="J1133" s="2897"/>
      <c r="K1133" s="2900" t="s">
        <v>676</v>
      </c>
      <c r="L1133" s="2898"/>
      <c r="M1133" s="2273" t="s">
        <v>676</v>
      </c>
      <c r="N1133" s="2273" t="s">
        <v>676</v>
      </c>
      <c r="O1133" s="2273" t="s">
        <v>676</v>
      </c>
      <c r="P1133" s="2274" t="s">
        <v>676</v>
      </c>
      <c r="Q1133" s="2270" t="s">
        <v>2770</v>
      </c>
      <c r="R1133" s="2270">
        <v>0</v>
      </c>
      <c r="S1133" s="2273" t="s">
        <v>676</v>
      </c>
      <c r="T1133" s="2273" t="s">
        <v>676</v>
      </c>
      <c r="U1133" s="2273" t="s">
        <v>676</v>
      </c>
      <c r="V1133" s="2273" t="s">
        <v>676</v>
      </c>
    </row>
    <row r="1134" spans="3:22" ht="15">
      <c r="C1134" s="2399"/>
      <c r="D1134" s="2400" t="s">
        <v>82</v>
      </c>
      <c r="E1134" s="2401"/>
      <c r="F1134" s="2401"/>
      <c r="G1134" s="2401"/>
      <c r="H1134" s="2402"/>
      <c r="I1134" s="2402"/>
      <c r="J1134" s="2403"/>
      <c r="K1134" s="2403"/>
      <c r="L1134" s="2403"/>
      <c r="M1134" s="2402"/>
      <c r="N1134" s="2402"/>
      <c r="O1134" s="2402"/>
      <c r="P1134" s="2403">
        <f>SUM(P1101:P1133)</f>
        <v>1200000</v>
      </c>
      <c r="Q1134" s="2410"/>
      <c r="R1134" s="2410">
        <f>SUM(R1101:R1133)</f>
        <v>1200000</v>
      </c>
      <c r="S1134" s="2404"/>
      <c r="T1134" s="2404"/>
      <c r="U1134" s="2404"/>
      <c r="V1134" s="2411"/>
    </row>
    <row r="1135" spans="3:22" ht="20.25">
      <c r="C1135" s="2377"/>
      <c r="D1135" s="2378"/>
      <c r="E1135" s="2379"/>
      <c r="F1135" s="2379"/>
      <c r="G1135" s="2380"/>
      <c r="H1135" s="2377"/>
      <c r="I1135" s="2377"/>
      <c r="J1135" s="2377"/>
      <c r="K1135" s="2377"/>
      <c r="L1135" s="2381"/>
      <c r="M1135" s="2381"/>
      <c r="N1135" s="2381"/>
      <c r="O1135" s="2381"/>
      <c r="P1135" s="2381"/>
      <c r="Q1135" s="2284" t="s">
        <v>2789</v>
      </c>
      <c r="R1135" s="2381"/>
      <c r="S1135" s="2381"/>
      <c r="T1135" s="2381"/>
      <c r="U1135" s="2381"/>
      <c r="V1135" s="2412"/>
    </row>
    <row r="1136" spans="3:22" ht="20.25">
      <c r="C1136" s="2381"/>
      <c r="D1136" s="2381"/>
      <c r="E1136" s="2383"/>
      <c r="F1136" s="2383"/>
      <c r="G1136" s="2383"/>
      <c r="H1136" s="2381"/>
      <c r="I1136" s="2381"/>
      <c r="J1136" s="2381"/>
      <c r="K1136" s="2381"/>
      <c r="L1136" s="2381"/>
      <c r="M1136" s="2381"/>
      <c r="N1136" s="2381"/>
      <c r="O1136" s="2381"/>
      <c r="P1136" s="2381"/>
      <c r="Q1136" s="2284" t="s">
        <v>2790</v>
      </c>
      <c r="R1136" s="2381"/>
      <c r="S1136" s="2381"/>
      <c r="T1136" s="2381"/>
      <c r="U1136" s="2381"/>
      <c r="V1136" s="2412"/>
    </row>
    <row r="1137" spans="3:22" ht="20.25">
      <c r="C1137" s="2938" t="s">
        <v>2749</v>
      </c>
      <c r="D1137" s="2939"/>
      <c r="E1137" s="2939"/>
      <c r="F1137" s="2939"/>
      <c r="G1137" s="2939"/>
      <c r="H1137" s="2939"/>
      <c r="I1137" s="2939"/>
      <c r="J1137" s="2265"/>
      <c r="K1137" s="2265"/>
      <c r="L1137" s="2265"/>
      <c r="M1137" s="2265"/>
      <c r="N1137" s="2265"/>
      <c r="O1137" s="2265"/>
      <c r="P1137" s="2307"/>
      <c r="Q1137" s="2307"/>
      <c r="R1137" s="2307"/>
      <c r="S1137" s="2265"/>
      <c r="T1137" s="2265"/>
      <c r="U1137" s="2265"/>
      <c r="V1137" s="2265"/>
    </row>
    <row r="1138" spans="3:22" ht="15">
      <c r="C1138" s="2413"/>
      <c r="D1138" s="2265"/>
      <c r="E1138" s="2366"/>
      <c r="F1138" s="2366"/>
      <c r="G1138" s="2366"/>
      <c r="H1138" s="2265"/>
      <c r="I1138" s="2265"/>
      <c r="J1138" s="2265"/>
      <c r="K1138" s="2265"/>
      <c r="L1138" s="2265"/>
      <c r="M1138" s="2265"/>
      <c r="N1138" s="2265"/>
      <c r="O1138" s="2265"/>
      <c r="P1138" s="2307"/>
      <c r="Q1138" s="2307"/>
      <c r="R1138" s="2307"/>
      <c r="S1138" s="2265"/>
      <c r="T1138" s="2265"/>
      <c r="U1138" s="2265"/>
      <c r="V1138" s="2265"/>
    </row>
    <row r="1139" spans="3:22" ht="15">
      <c r="C1139" s="2940" t="s">
        <v>653</v>
      </c>
      <c r="D1139" s="2889"/>
      <c r="E1139" s="2889"/>
      <c r="F1139" s="2366"/>
      <c r="G1139" s="2384">
        <v>2020</v>
      </c>
      <c r="H1139" s="2265"/>
      <c r="I1139" s="2265"/>
      <c r="J1139" s="2265"/>
      <c r="K1139" s="2265"/>
      <c r="L1139" s="2265"/>
      <c r="M1139" s="2265"/>
      <c r="N1139" s="2265"/>
      <c r="O1139" s="2265"/>
      <c r="P1139" s="2307"/>
      <c r="Q1139" s="2307"/>
      <c r="R1139" s="2307"/>
      <c r="S1139" s="2265"/>
      <c r="T1139" s="2265"/>
      <c r="U1139" s="2265"/>
      <c r="V1139" s="2265"/>
    </row>
    <row r="1140" spans="3:22" ht="15.75">
      <c r="C1140" s="2414"/>
      <c r="D1140" s="2265"/>
      <c r="E1140" s="2366"/>
      <c r="F1140" s="2366"/>
      <c r="G1140" s="2384"/>
      <c r="H1140" s="2265"/>
      <c r="I1140" s="2265"/>
      <c r="J1140" s="2265"/>
      <c r="K1140" s="2265"/>
      <c r="L1140" s="2265"/>
      <c r="M1140" s="2265"/>
      <c r="N1140" s="2265"/>
      <c r="O1140" s="2265"/>
      <c r="P1140" s="2307"/>
      <c r="Q1140" s="2307"/>
      <c r="R1140" s="2307"/>
      <c r="S1140" s="2265"/>
      <c r="T1140" s="2265"/>
      <c r="U1140" s="2265"/>
      <c r="V1140" s="2265"/>
    </row>
    <row r="1141" spans="3:22" ht="15">
      <c r="C1141" s="2940" t="s">
        <v>655</v>
      </c>
      <c r="D1141" s="2889"/>
      <c r="E1141" s="2889"/>
      <c r="F1141" s="2366"/>
      <c r="G1141" s="2941" t="s">
        <v>1986</v>
      </c>
      <c r="H1141" s="2889"/>
      <c r="I1141" s="2889"/>
      <c r="J1141" s="2889"/>
      <c r="K1141" s="2889"/>
      <c r="L1141" s="2265"/>
      <c r="M1141" s="2265"/>
      <c r="N1141" s="2265"/>
      <c r="O1141" s="2265"/>
      <c r="P1141" s="2307"/>
      <c r="Q1141" s="2307"/>
      <c r="R1141" s="2307"/>
      <c r="S1141" s="2265"/>
      <c r="T1141" s="2265"/>
      <c r="U1141" s="2265"/>
      <c r="V1141" s="2265"/>
    </row>
    <row r="1142" spans="3:22" ht="15.75">
      <c r="C1142" s="2414"/>
      <c r="D1142" s="2265"/>
      <c r="E1142" s="2366"/>
      <c r="F1142" s="2366"/>
      <c r="G1142" s="2384"/>
      <c r="H1142" s="2265"/>
      <c r="I1142" s="2265"/>
      <c r="J1142" s="2265"/>
      <c r="K1142" s="2265"/>
      <c r="L1142" s="2265"/>
      <c r="M1142" s="2265"/>
      <c r="N1142" s="2265"/>
      <c r="O1142" s="2265"/>
      <c r="P1142" s="2307"/>
      <c r="Q1142" s="2307"/>
      <c r="R1142" s="2307"/>
      <c r="S1142" s="2265"/>
      <c r="T1142" s="2265"/>
      <c r="U1142" s="2265"/>
      <c r="V1142" s="2265"/>
    </row>
    <row r="1143" spans="3:22" ht="110.25">
      <c r="C1143" s="2265"/>
      <c r="D1143" s="2266" t="s">
        <v>657</v>
      </c>
      <c r="E1143" s="2893" t="s">
        <v>587</v>
      </c>
      <c r="F1143" s="2894"/>
      <c r="G1143" s="2894"/>
      <c r="H1143" s="2895"/>
      <c r="I1143" s="2893" t="s">
        <v>2751</v>
      </c>
      <c r="J1143" s="2895"/>
      <c r="K1143" s="2893" t="s">
        <v>2752</v>
      </c>
      <c r="L1143" s="2895"/>
      <c r="M1143" s="2266" t="s">
        <v>2753</v>
      </c>
      <c r="N1143" s="2266" t="s">
        <v>2754</v>
      </c>
      <c r="O1143" s="2266" t="s">
        <v>2755</v>
      </c>
      <c r="P1143" s="2267" t="s">
        <v>2756</v>
      </c>
      <c r="Q1143" s="2267" t="s">
        <v>2757</v>
      </c>
      <c r="R1143" s="2267" t="s">
        <v>2758</v>
      </c>
      <c r="S1143" s="2266" t="s">
        <v>623</v>
      </c>
      <c r="T1143" s="2266" t="s">
        <v>2759</v>
      </c>
      <c r="U1143" s="2266" t="s">
        <v>2760</v>
      </c>
      <c r="V1143" s="2266" t="s">
        <v>2761</v>
      </c>
    </row>
    <row r="1144" spans="3:22" ht="45">
      <c r="C1144" s="2265"/>
      <c r="D1144" s="2268">
        <v>1</v>
      </c>
      <c r="E1144" s="2882" t="s">
        <v>3097</v>
      </c>
      <c r="F1144" s="2883"/>
      <c r="G1144" s="2883"/>
      <c r="H1144" s="2884"/>
      <c r="I1144" s="2882" t="s">
        <v>2970</v>
      </c>
      <c r="J1144" s="2884"/>
      <c r="K1144" s="2882" t="s">
        <v>2762</v>
      </c>
      <c r="L1144" s="2884"/>
      <c r="M1144" s="2268" t="s">
        <v>2763</v>
      </c>
      <c r="N1144" s="2268" t="s">
        <v>2764</v>
      </c>
      <c r="O1144" s="2268" t="s">
        <v>2765</v>
      </c>
      <c r="P1144" s="2269">
        <v>35000</v>
      </c>
      <c r="Q1144" s="2270" t="s">
        <v>2766</v>
      </c>
      <c r="R1144" s="2270">
        <v>35000</v>
      </c>
      <c r="S1144" s="2268"/>
      <c r="T1144" s="2268" t="s">
        <v>2767</v>
      </c>
      <c r="U1144" s="2268" t="s">
        <v>2768</v>
      </c>
      <c r="V1144" s="2268"/>
    </row>
    <row r="1145" spans="3:22" ht="15">
      <c r="C1145" s="2265"/>
      <c r="D1145" s="2271" t="s">
        <v>676</v>
      </c>
      <c r="E1145" s="2888" t="s">
        <v>676</v>
      </c>
      <c r="F1145" s="2889"/>
      <c r="G1145" s="2889"/>
      <c r="H1145" s="2890"/>
      <c r="I1145" s="2888" t="s">
        <v>676</v>
      </c>
      <c r="J1145" s="2890"/>
      <c r="K1145" s="2888" t="s">
        <v>676</v>
      </c>
      <c r="L1145" s="2890"/>
      <c r="M1145" s="2271" t="s">
        <v>676</v>
      </c>
      <c r="N1145" s="2271" t="s">
        <v>676</v>
      </c>
      <c r="O1145" s="2271" t="s">
        <v>676</v>
      </c>
      <c r="P1145" s="2272" t="s">
        <v>676</v>
      </c>
      <c r="Q1145" s="2270" t="s">
        <v>2769</v>
      </c>
      <c r="R1145" s="2270">
        <v>0</v>
      </c>
      <c r="S1145" s="2271" t="s">
        <v>676</v>
      </c>
      <c r="T1145" s="2271" t="s">
        <v>676</v>
      </c>
      <c r="U1145" s="2271" t="s">
        <v>676</v>
      </c>
      <c r="V1145" s="2271" t="s">
        <v>676</v>
      </c>
    </row>
    <row r="1146" spans="3:22" ht="15">
      <c r="C1146" s="2265"/>
      <c r="D1146" s="2271" t="s">
        <v>676</v>
      </c>
      <c r="E1146" s="2891" t="s">
        <v>676</v>
      </c>
      <c r="F1146" s="2889"/>
      <c r="G1146" s="2889"/>
      <c r="H1146" s="2890"/>
      <c r="I1146" s="2892" t="s">
        <v>676</v>
      </c>
      <c r="J1146" s="2889"/>
      <c r="K1146" s="2888" t="s">
        <v>676</v>
      </c>
      <c r="L1146" s="2890"/>
      <c r="M1146" s="2271" t="s">
        <v>676</v>
      </c>
      <c r="N1146" s="2271" t="s">
        <v>676</v>
      </c>
      <c r="O1146" s="2271" t="s">
        <v>676</v>
      </c>
      <c r="P1146" s="2272" t="s">
        <v>676</v>
      </c>
      <c r="Q1146" s="2270" t="s">
        <v>2770</v>
      </c>
      <c r="R1146" s="2270">
        <v>0</v>
      </c>
      <c r="S1146" s="2271" t="s">
        <v>676</v>
      </c>
      <c r="T1146" s="2271" t="s">
        <v>676</v>
      </c>
      <c r="U1146" s="2271" t="s">
        <v>676</v>
      </c>
      <c r="V1146" s="2271" t="s">
        <v>676</v>
      </c>
    </row>
    <row r="1147" spans="3:22" ht="45">
      <c r="C1147" s="2265"/>
      <c r="D1147" s="2268">
        <v>2</v>
      </c>
      <c r="E1147" s="2882" t="s">
        <v>3098</v>
      </c>
      <c r="F1147" s="2883"/>
      <c r="G1147" s="2883"/>
      <c r="H1147" s="2884"/>
      <c r="I1147" s="2882" t="s">
        <v>1119</v>
      </c>
      <c r="J1147" s="2884"/>
      <c r="K1147" s="2882" t="s">
        <v>2762</v>
      </c>
      <c r="L1147" s="2884"/>
      <c r="M1147" s="2268" t="s">
        <v>2763</v>
      </c>
      <c r="N1147" s="2268" t="s">
        <v>2775</v>
      </c>
      <c r="O1147" s="2268" t="s">
        <v>2765</v>
      </c>
      <c r="P1147" s="2269">
        <v>100000</v>
      </c>
      <c r="Q1147" s="2270" t="s">
        <v>2766</v>
      </c>
      <c r="R1147" s="2270">
        <v>100000</v>
      </c>
      <c r="S1147" s="2268"/>
      <c r="T1147" s="2268" t="s">
        <v>2767</v>
      </c>
      <c r="U1147" s="2268" t="s">
        <v>2768</v>
      </c>
      <c r="V1147" s="2268"/>
    </row>
    <row r="1148" spans="3:22" ht="15">
      <c r="C1148" s="2265"/>
      <c r="D1148" s="2271" t="s">
        <v>676</v>
      </c>
      <c r="E1148" s="2888" t="s">
        <v>676</v>
      </c>
      <c r="F1148" s="2889"/>
      <c r="G1148" s="2889"/>
      <c r="H1148" s="2890"/>
      <c r="I1148" s="2888" t="s">
        <v>676</v>
      </c>
      <c r="J1148" s="2890"/>
      <c r="K1148" s="2888" t="s">
        <v>676</v>
      </c>
      <c r="L1148" s="2890"/>
      <c r="M1148" s="2271" t="s">
        <v>676</v>
      </c>
      <c r="N1148" s="2271" t="s">
        <v>676</v>
      </c>
      <c r="O1148" s="2271" t="s">
        <v>676</v>
      </c>
      <c r="P1148" s="2272" t="s">
        <v>676</v>
      </c>
      <c r="Q1148" s="2270" t="s">
        <v>2769</v>
      </c>
      <c r="R1148" s="2270">
        <v>0</v>
      </c>
      <c r="S1148" s="2271" t="s">
        <v>676</v>
      </c>
      <c r="T1148" s="2271" t="s">
        <v>676</v>
      </c>
      <c r="U1148" s="2271" t="s">
        <v>676</v>
      </c>
      <c r="V1148" s="2271" t="s">
        <v>676</v>
      </c>
    </row>
    <row r="1149" spans="3:22" ht="15">
      <c r="C1149" s="2265"/>
      <c r="D1149" s="2271" t="s">
        <v>676</v>
      </c>
      <c r="E1149" s="2891" t="s">
        <v>676</v>
      </c>
      <c r="F1149" s="2889"/>
      <c r="G1149" s="2889"/>
      <c r="H1149" s="2890"/>
      <c r="I1149" s="2892" t="s">
        <v>676</v>
      </c>
      <c r="J1149" s="2889"/>
      <c r="K1149" s="2888" t="s">
        <v>676</v>
      </c>
      <c r="L1149" s="2890"/>
      <c r="M1149" s="2271" t="s">
        <v>676</v>
      </c>
      <c r="N1149" s="2271" t="s">
        <v>676</v>
      </c>
      <c r="O1149" s="2271" t="s">
        <v>676</v>
      </c>
      <c r="P1149" s="2272" t="s">
        <v>676</v>
      </c>
      <c r="Q1149" s="2270" t="s">
        <v>2770</v>
      </c>
      <c r="R1149" s="2270">
        <v>0</v>
      </c>
      <c r="S1149" s="2271" t="s">
        <v>676</v>
      </c>
      <c r="T1149" s="2271" t="s">
        <v>676</v>
      </c>
      <c r="U1149" s="2271" t="s">
        <v>676</v>
      </c>
      <c r="V1149" s="2271" t="s">
        <v>676</v>
      </c>
    </row>
    <row r="1150" spans="3:22" ht="45">
      <c r="C1150" s="2265"/>
      <c r="D1150" s="2268">
        <v>3</v>
      </c>
      <c r="E1150" s="2882" t="s">
        <v>3099</v>
      </c>
      <c r="F1150" s="2883"/>
      <c r="G1150" s="2883"/>
      <c r="H1150" s="2884"/>
      <c r="I1150" s="2882" t="s">
        <v>3100</v>
      </c>
      <c r="J1150" s="2884"/>
      <c r="K1150" s="2882" t="s">
        <v>2762</v>
      </c>
      <c r="L1150" s="2884"/>
      <c r="M1150" s="2268" t="s">
        <v>2763</v>
      </c>
      <c r="N1150" s="2268" t="s">
        <v>2764</v>
      </c>
      <c r="O1150" s="2268" t="s">
        <v>2765</v>
      </c>
      <c r="P1150" s="2269">
        <v>40000</v>
      </c>
      <c r="Q1150" s="2270" t="s">
        <v>2766</v>
      </c>
      <c r="R1150" s="2270">
        <v>40000</v>
      </c>
      <c r="S1150" s="2268"/>
      <c r="T1150" s="2268" t="s">
        <v>3082</v>
      </c>
      <c r="U1150" s="2268" t="s">
        <v>2768</v>
      </c>
      <c r="V1150" s="2268"/>
    </row>
    <row r="1151" spans="3:22" ht="15">
      <c r="C1151" s="2265"/>
      <c r="D1151" s="2271" t="s">
        <v>676</v>
      </c>
      <c r="E1151" s="2888" t="s">
        <v>676</v>
      </c>
      <c r="F1151" s="2889"/>
      <c r="G1151" s="2889"/>
      <c r="H1151" s="2890"/>
      <c r="I1151" s="2888" t="s">
        <v>676</v>
      </c>
      <c r="J1151" s="2890"/>
      <c r="K1151" s="2888" t="s">
        <v>676</v>
      </c>
      <c r="L1151" s="2890"/>
      <c r="M1151" s="2271" t="s">
        <v>676</v>
      </c>
      <c r="N1151" s="2271" t="s">
        <v>676</v>
      </c>
      <c r="O1151" s="2271" t="s">
        <v>676</v>
      </c>
      <c r="P1151" s="2272" t="s">
        <v>676</v>
      </c>
      <c r="Q1151" s="2270" t="s">
        <v>2769</v>
      </c>
      <c r="R1151" s="2270">
        <v>0</v>
      </c>
      <c r="S1151" s="2271" t="s">
        <v>676</v>
      </c>
      <c r="T1151" s="2271" t="s">
        <v>676</v>
      </c>
      <c r="U1151" s="2271" t="s">
        <v>676</v>
      </c>
      <c r="V1151" s="2271" t="s">
        <v>676</v>
      </c>
    </row>
    <row r="1152" spans="3:22" ht="15">
      <c r="C1152" s="2265"/>
      <c r="D1152" s="2271" t="s">
        <v>676</v>
      </c>
      <c r="E1152" s="2891" t="s">
        <v>676</v>
      </c>
      <c r="F1152" s="2889"/>
      <c r="G1152" s="2889"/>
      <c r="H1152" s="2890"/>
      <c r="I1152" s="2892" t="s">
        <v>676</v>
      </c>
      <c r="J1152" s="2889"/>
      <c r="K1152" s="2888" t="s">
        <v>676</v>
      </c>
      <c r="L1152" s="2890"/>
      <c r="M1152" s="2271" t="s">
        <v>676</v>
      </c>
      <c r="N1152" s="2271" t="s">
        <v>676</v>
      </c>
      <c r="O1152" s="2271" t="s">
        <v>676</v>
      </c>
      <c r="P1152" s="2272" t="s">
        <v>676</v>
      </c>
      <c r="Q1152" s="2270" t="s">
        <v>2770</v>
      </c>
      <c r="R1152" s="2270">
        <v>0</v>
      </c>
      <c r="S1152" s="2271" t="s">
        <v>676</v>
      </c>
      <c r="T1152" s="2271" t="s">
        <v>676</v>
      </c>
      <c r="U1152" s="2271" t="s">
        <v>676</v>
      </c>
      <c r="V1152" s="2271" t="s">
        <v>676</v>
      </c>
    </row>
    <row r="1153" spans="3:22" ht="45">
      <c r="C1153" s="2265"/>
      <c r="D1153" s="2268">
        <v>4</v>
      </c>
      <c r="E1153" s="2882" t="s">
        <v>3101</v>
      </c>
      <c r="F1153" s="2883"/>
      <c r="G1153" s="2883"/>
      <c r="H1153" s="2884"/>
      <c r="I1153" s="2882" t="s">
        <v>2136</v>
      </c>
      <c r="J1153" s="2884"/>
      <c r="K1153" s="2882" t="s">
        <v>2762</v>
      </c>
      <c r="L1153" s="2884"/>
      <c r="M1153" s="2268" t="s">
        <v>2763</v>
      </c>
      <c r="N1153" s="2268" t="s">
        <v>2764</v>
      </c>
      <c r="O1153" s="2268" t="s">
        <v>2765</v>
      </c>
      <c r="P1153" s="2269">
        <v>90000</v>
      </c>
      <c r="Q1153" s="2270" t="s">
        <v>2766</v>
      </c>
      <c r="R1153" s="2270">
        <v>90000</v>
      </c>
      <c r="S1153" s="2268"/>
      <c r="T1153" s="2268" t="s">
        <v>2767</v>
      </c>
      <c r="U1153" s="2268" t="s">
        <v>2768</v>
      </c>
      <c r="V1153" s="2268"/>
    </row>
    <row r="1154" spans="3:22" ht="15">
      <c r="C1154" s="2265"/>
      <c r="D1154" s="2271" t="s">
        <v>676</v>
      </c>
      <c r="E1154" s="2888" t="s">
        <v>676</v>
      </c>
      <c r="F1154" s="2889"/>
      <c r="G1154" s="2889"/>
      <c r="H1154" s="2890"/>
      <c r="I1154" s="2888" t="s">
        <v>676</v>
      </c>
      <c r="J1154" s="2890"/>
      <c r="K1154" s="2888" t="s">
        <v>676</v>
      </c>
      <c r="L1154" s="2890"/>
      <c r="M1154" s="2271" t="s">
        <v>676</v>
      </c>
      <c r="N1154" s="2271" t="s">
        <v>676</v>
      </c>
      <c r="O1154" s="2271" t="s">
        <v>676</v>
      </c>
      <c r="P1154" s="2272" t="s">
        <v>676</v>
      </c>
      <c r="Q1154" s="2270" t="s">
        <v>2769</v>
      </c>
      <c r="R1154" s="2270">
        <v>0</v>
      </c>
      <c r="S1154" s="2271" t="s">
        <v>676</v>
      </c>
      <c r="T1154" s="2271" t="s">
        <v>676</v>
      </c>
      <c r="U1154" s="2271" t="s">
        <v>676</v>
      </c>
      <c r="V1154" s="2271" t="s">
        <v>676</v>
      </c>
    </row>
    <row r="1155" spans="3:22" ht="15">
      <c r="C1155" s="2265"/>
      <c r="D1155" s="2271" t="s">
        <v>676</v>
      </c>
      <c r="E1155" s="2891" t="s">
        <v>676</v>
      </c>
      <c r="F1155" s="2889"/>
      <c r="G1155" s="2889"/>
      <c r="H1155" s="2890"/>
      <c r="I1155" s="2892" t="s">
        <v>676</v>
      </c>
      <c r="J1155" s="2889"/>
      <c r="K1155" s="2888" t="s">
        <v>676</v>
      </c>
      <c r="L1155" s="2890"/>
      <c r="M1155" s="2271" t="s">
        <v>676</v>
      </c>
      <c r="N1155" s="2271" t="s">
        <v>676</v>
      </c>
      <c r="O1155" s="2271" t="s">
        <v>676</v>
      </c>
      <c r="P1155" s="2272" t="s">
        <v>676</v>
      </c>
      <c r="Q1155" s="2270" t="s">
        <v>2770</v>
      </c>
      <c r="R1155" s="2270">
        <v>0</v>
      </c>
      <c r="S1155" s="2271" t="s">
        <v>676</v>
      </c>
      <c r="T1155" s="2271" t="s">
        <v>676</v>
      </c>
      <c r="U1155" s="2271" t="s">
        <v>676</v>
      </c>
      <c r="V1155" s="2271" t="s">
        <v>676</v>
      </c>
    </row>
    <row r="1156" spans="3:22" ht="45">
      <c r="C1156" s="2265"/>
      <c r="D1156" s="2268">
        <v>5</v>
      </c>
      <c r="E1156" s="2882" t="s">
        <v>3102</v>
      </c>
      <c r="F1156" s="2883"/>
      <c r="G1156" s="2883"/>
      <c r="H1156" s="2884"/>
      <c r="I1156" s="2882" t="s">
        <v>1260</v>
      </c>
      <c r="J1156" s="2884"/>
      <c r="K1156" s="2882" t="s">
        <v>2762</v>
      </c>
      <c r="L1156" s="2884"/>
      <c r="M1156" s="2268" t="s">
        <v>2763</v>
      </c>
      <c r="N1156" s="2268" t="s">
        <v>2764</v>
      </c>
      <c r="O1156" s="2268" t="s">
        <v>2765</v>
      </c>
      <c r="P1156" s="2269">
        <v>100000</v>
      </c>
      <c r="Q1156" s="2270" t="s">
        <v>2766</v>
      </c>
      <c r="R1156" s="2270">
        <v>100000</v>
      </c>
      <c r="S1156" s="2268"/>
      <c r="T1156" s="2268" t="s">
        <v>2767</v>
      </c>
      <c r="U1156" s="2268" t="s">
        <v>2768</v>
      </c>
      <c r="V1156" s="2268"/>
    </row>
    <row r="1157" spans="3:22" ht="15">
      <c r="C1157" s="2265"/>
      <c r="D1157" s="2271" t="s">
        <v>676</v>
      </c>
      <c r="E1157" s="2888" t="s">
        <v>676</v>
      </c>
      <c r="F1157" s="2889"/>
      <c r="G1157" s="2889"/>
      <c r="H1157" s="2890"/>
      <c r="I1157" s="2888" t="s">
        <v>676</v>
      </c>
      <c r="J1157" s="2890"/>
      <c r="K1157" s="2888" t="s">
        <v>676</v>
      </c>
      <c r="L1157" s="2890"/>
      <c r="M1157" s="2271" t="s">
        <v>676</v>
      </c>
      <c r="N1157" s="2271" t="s">
        <v>676</v>
      </c>
      <c r="O1157" s="2271" t="s">
        <v>676</v>
      </c>
      <c r="P1157" s="2272" t="s">
        <v>676</v>
      </c>
      <c r="Q1157" s="2270" t="s">
        <v>2769</v>
      </c>
      <c r="R1157" s="2270">
        <v>0</v>
      </c>
      <c r="S1157" s="2271" t="s">
        <v>676</v>
      </c>
      <c r="T1157" s="2271" t="s">
        <v>676</v>
      </c>
      <c r="U1157" s="2271" t="s">
        <v>676</v>
      </c>
      <c r="V1157" s="2271" t="s">
        <v>676</v>
      </c>
    </row>
    <row r="1158" spans="3:22" ht="15">
      <c r="C1158" s="2265"/>
      <c r="D1158" s="2271" t="s">
        <v>676</v>
      </c>
      <c r="E1158" s="2891" t="s">
        <v>676</v>
      </c>
      <c r="F1158" s="2889"/>
      <c r="G1158" s="2889"/>
      <c r="H1158" s="2890"/>
      <c r="I1158" s="2892" t="s">
        <v>676</v>
      </c>
      <c r="J1158" s="2889"/>
      <c r="K1158" s="2888" t="s">
        <v>676</v>
      </c>
      <c r="L1158" s="2890"/>
      <c r="M1158" s="2271" t="s">
        <v>676</v>
      </c>
      <c r="N1158" s="2271" t="s">
        <v>676</v>
      </c>
      <c r="O1158" s="2271" t="s">
        <v>676</v>
      </c>
      <c r="P1158" s="2272" t="s">
        <v>676</v>
      </c>
      <c r="Q1158" s="2270" t="s">
        <v>2770</v>
      </c>
      <c r="R1158" s="2270">
        <v>0</v>
      </c>
      <c r="S1158" s="2271" t="s">
        <v>676</v>
      </c>
      <c r="T1158" s="2271" t="s">
        <v>676</v>
      </c>
      <c r="U1158" s="2271" t="s">
        <v>676</v>
      </c>
      <c r="V1158" s="2271" t="s">
        <v>676</v>
      </c>
    </row>
    <row r="1159" spans="3:22" ht="45">
      <c r="C1159" s="2265"/>
      <c r="D1159" s="2268">
        <v>6</v>
      </c>
      <c r="E1159" s="2882" t="s">
        <v>1900</v>
      </c>
      <c r="F1159" s="2883"/>
      <c r="G1159" s="2883"/>
      <c r="H1159" s="2884"/>
      <c r="I1159" s="2882" t="s">
        <v>3103</v>
      </c>
      <c r="J1159" s="2884"/>
      <c r="K1159" s="2882" t="s">
        <v>2762</v>
      </c>
      <c r="L1159" s="2884"/>
      <c r="M1159" s="2268" t="s">
        <v>2763</v>
      </c>
      <c r="N1159" s="2268" t="s">
        <v>2775</v>
      </c>
      <c r="O1159" s="2268" t="s">
        <v>2776</v>
      </c>
      <c r="P1159" s="2269">
        <v>100000</v>
      </c>
      <c r="Q1159" s="2270" t="s">
        <v>2766</v>
      </c>
      <c r="R1159" s="2270">
        <v>100000</v>
      </c>
      <c r="S1159" s="2268" t="s">
        <v>688</v>
      </c>
      <c r="T1159" s="2268" t="s">
        <v>2767</v>
      </c>
      <c r="U1159" s="2268" t="s">
        <v>2768</v>
      </c>
      <c r="V1159" s="2268"/>
    </row>
    <row r="1160" spans="3:22" ht="15">
      <c r="C1160" s="2265"/>
      <c r="D1160" s="2271" t="s">
        <v>676</v>
      </c>
      <c r="E1160" s="2888" t="s">
        <v>676</v>
      </c>
      <c r="F1160" s="2889"/>
      <c r="G1160" s="2889"/>
      <c r="H1160" s="2890"/>
      <c r="I1160" s="2888" t="s">
        <v>676</v>
      </c>
      <c r="J1160" s="2890"/>
      <c r="K1160" s="2888" t="s">
        <v>676</v>
      </c>
      <c r="L1160" s="2890"/>
      <c r="M1160" s="2271" t="s">
        <v>676</v>
      </c>
      <c r="N1160" s="2271" t="s">
        <v>676</v>
      </c>
      <c r="O1160" s="2271" t="s">
        <v>676</v>
      </c>
      <c r="P1160" s="2272" t="s">
        <v>676</v>
      </c>
      <c r="Q1160" s="2270" t="s">
        <v>2769</v>
      </c>
      <c r="R1160" s="2270">
        <v>0</v>
      </c>
      <c r="S1160" s="2271" t="s">
        <v>676</v>
      </c>
      <c r="T1160" s="2271" t="s">
        <v>676</v>
      </c>
      <c r="U1160" s="2271" t="s">
        <v>676</v>
      </c>
      <c r="V1160" s="2271" t="s">
        <v>676</v>
      </c>
    </row>
    <row r="1161" spans="3:22" ht="15">
      <c r="C1161" s="2265"/>
      <c r="D1161" s="2271" t="s">
        <v>676</v>
      </c>
      <c r="E1161" s="2891" t="s">
        <v>676</v>
      </c>
      <c r="F1161" s="2889"/>
      <c r="G1161" s="2889"/>
      <c r="H1161" s="2890"/>
      <c r="I1161" s="2892" t="s">
        <v>676</v>
      </c>
      <c r="J1161" s="2889"/>
      <c r="K1161" s="2888" t="s">
        <v>676</v>
      </c>
      <c r="L1161" s="2890"/>
      <c r="M1161" s="2271" t="s">
        <v>676</v>
      </c>
      <c r="N1161" s="2271" t="s">
        <v>676</v>
      </c>
      <c r="O1161" s="2271" t="s">
        <v>676</v>
      </c>
      <c r="P1161" s="2272" t="s">
        <v>676</v>
      </c>
      <c r="Q1161" s="2270" t="s">
        <v>2770</v>
      </c>
      <c r="R1161" s="2270">
        <v>0</v>
      </c>
      <c r="S1161" s="2271" t="s">
        <v>676</v>
      </c>
      <c r="T1161" s="2271" t="s">
        <v>676</v>
      </c>
      <c r="U1161" s="2271" t="s">
        <v>676</v>
      </c>
      <c r="V1161" s="2271" t="s">
        <v>676</v>
      </c>
    </row>
    <row r="1162" spans="3:22" ht="45">
      <c r="C1162" s="2265"/>
      <c r="D1162" s="2268">
        <v>7</v>
      </c>
      <c r="E1162" s="2882" t="s">
        <v>3104</v>
      </c>
      <c r="F1162" s="2883"/>
      <c r="G1162" s="2883"/>
      <c r="H1162" s="2884"/>
      <c r="I1162" s="2882" t="s">
        <v>3105</v>
      </c>
      <c r="J1162" s="2884"/>
      <c r="K1162" s="2882" t="s">
        <v>2762</v>
      </c>
      <c r="L1162" s="2884"/>
      <c r="M1162" s="2268" t="s">
        <v>2763</v>
      </c>
      <c r="N1162" s="2268" t="s">
        <v>2775</v>
      </c>
      <c r="O1162" s="2268" t="s">
        <v>2765</v>
      </c>
      <c r="P1162" s="2269">
        <v>100000</v>
      </c>
      <c r="Q1162" s="2270" t="s">
        <v>2766</v>
      </c>
      <c r="R1162" s="2270">
        <v>100000</v>
      </c>
      <c r="S1162" s="2268"/>
      <c r="T1162" s="2268" t="s">
        <v>2767</v>
      </c>
      <c r="U1162" s="2268" t="s">
        <v>2768</v>
      </c>
      <c r="V1162" s="2268"/>
    </row>
    <row r="1163" spans="3:22" ht="15">
      <c r="C1163" s="2265"/>
      <c r="D1163" s="2271" t="s">
        <v>676</v>
      </c>
      <c r="E1163" s="2888" t="s">
        <v>676</v>
      </c>
      <c r="F1163" s="2889"/>
      <c r="G1163" s="2889"/>
      <c r="H1163" s="2890"/>
      <c r="I1163" s="2888" t="s">
        <v>676</v>
      </c>
      <c r="J1163" s="2890"/>
      <c r="K1163" s="2888" t="s">
        <v>676</v>
      </c>
      <c r="L1163" s="2890"/>
      <c r="M1163" s="2271" t="s">
        <v>676</v>
      </c>
      <c r="N1163" s="2271" t="s">
        <v>676</v>
      </c>
      <c r="O1163" s="2271" t="s">
        <v>676</v>
      </c>
      <c r="P1163" s="2272" t="s">
        <v>676</v>
      </c>
      <c r="Q1163" s="2270" t="s">
        <v>2769</v>
      </c>
      <c r="R1163" s="2270">
        <v>0</v>
      </c>
      <c r="S1163" s="2271" t="s">
        <v>676</v>
      </c>
      <c r="T1163" s="2271" t="s">
        <v>676</v>
      </c>
      <c r="U1163" s="2271" t="s">
        <v>676</v>
      </c>
      <c r="V1163" s="2271" t="s">
        <v>676</v>
      </c>
    </row>
    <row r="1164" spans="3:22" ht="15">
      <c r="C1164" s="2265"/>
      <c r="D1164" s="2271" t="s">
        <v>676</v>
      </c>
      <c r="E1164" s="2891" t="s">
        <v>676</v>
      </c>
      <c r="F1164" s="2889"/>
      <c r="G1164" s="2889"/>
      <c r="H1164" s="2890"/>
      <c r="I1164" s="2892" t="s">
        <v>676</v>
      </c>
      <c r="J1164" s="2889"/>
      <c r="K1164" s="2888" t="s">
        <v>676</v>
      </c>
      <c r="L1164" s="2890"/>
      <c r="M1164" s="2271" t="s">
        <v>676</v>
      </c>
      <c r="N1164" s="2271" t="s">
        <v>676</v>
      </c>
      <c r="O1164" s="2271" t="s">
        <v>676</v>
      </c>
      <c r="P1164" s="2272" t="s">
        <v>676</v>
      </c>
      <c r="Q1164" s="2270" t="s">
        <v>2770</v>
      </c>
      <c r="R1164" s="2270">
        <v>0</v>
      </c>
      <c r="S1164" s="2271" t="s">
        <v>676</v>
      </c>
      <c r="T1164" s="2271" t="s">
        <v>676</v>
      </c>
      <c r="U1164" s="2271" t="s">
        <v>676</v>
      </c>
      <c r="V1164" s="2271" t="s">
        <v>676</v>
      </c>
    </row>
    <row r="1165" spans="3:22" ht="45">
      <c r="C1165" s="2265"/>
      <c r="D1165" s="2268">
        <v>8</v>
      </c>
      <c r="E1165" s="2882" t="s">
        <v>1288</v>
      </c>
      <c r="F1165" s="2883"/>
      <c r="G1165" s="2883"/>
      <c r="H1165" s="2884"/>
      <c r="I1165" s="2882" t="s">
        <v>1101</v>
      </c>
      <c r="J1165" s="2884"/>
      <c r="K1165" s="2882" t="s">
        <v>2762</v>
      </c>
      <c r="L1165" s="2884"/>
      <c r="M1165" s="2268" t="s">
        <v>2763</v>
      </c>
      <c r="N1165" s="2268" t="s">
        <v>2775</v>
      </c>
      <c r="O1165" s="2268" t="s">
        <v>2765</v>
      </c>
      <c r="P1165" s="2269">
        <v>100000</v>
      </c>
      <c r="Q1165" s="2270" t="s">
        <v>2766</v>
      </c>
      <c r="R1165" s="2270">
        <v>100000</v>
      </c>
      <c r="S1165" s="2268"/>
      <c r="T1165" s="2268" t="s">
        <v>2767</v>
      </c>
      <c r="U1165" s="2268" t="s">
        <v>2768</v>
      </c>
      <c r="V1165" s="2268"/>
    </row>
    <row r="1166" spans="3:22" ht="15">
      <c r="C1166" s="2265"/>
      <c r="D1166" s="2271" t="s">
        <v>676</v>
      </c>
      <c r="E1166" s="2888" t="s">
        <v>676</v>
      </c>
      <c r="F1166" s="2889"/>
      <c r="G1166" s="2889"/>
      <c r="H1166" s="2890"/>
      <c r="I1166" s="2888" t="s">
        <v>676</v>
      </c>
      <c r="J1166" s="2890"/>
      <c r="K1166" s="2888" t="s">
        <v>676</v>
      </c>
      <c r="L1166" s="2890"/>
      <c r="M1166" s="2271" t="s">
        <v>676</v>
      </c>
      <c r="N1166" s="2271" t="s">
        <v>676</v>
      </c>
      <c r="O1166" s="2271" t="s">
        <v>676</v>
      </c>
      <c r="P1166" s="2272" t="s">
        <v>676</v>
      </c>
      <c r="Q1166" s="2270" t="s">
        <v>2769</v>
      </c>
      <c r="R1166" s="2270">
        <v>0</v>
      </c>
      <c r="S1166" s="2271" t="s">
        <v>676</v>
      </c>
      <c r="T1166" s="2271" t="s">
        <v>676</v>
      </c>
      <c r="U1166" s="2271" t="s">
        <v>676</v>
      </c>
      <c r="V1166" s="2271" t="s">
        <v>676</v>
      </c>
    </row>
    <row r="1167" spans="3:22" ht="15">
      <c r="C1167" s="2265"/>
      <c r="D1167" s="2271" t="s">
        <v>676</v>
      </c>
      <c r="E1167" s="2891" t="s">
        <v>676</v>
      </c>
      <c r="F1167" s="2889"/>
      <c r="G1167" s="2889"/>
      <c r="H1167" s="2890"/>
      <c r="I1167" s="2892" t="s">
        <v>676</v>
      </c>
      <c r="J1167" s="2889"/>
      <c r="K1167" s="2888" t="s">
        <v>676</v>
      </c>
      <c r="L1167" s="2890"/>
      <c r="M1167" s="2271" t="s">
        <v>676</v>
      </c>
      <c r="N1167" s="2271" t="s">
        <v>676</v>
      </c>
      <c r="O1167" s="2271" t="s">
        <v>676</v>
      </c>
      <c r="P1167" s="2272" t="s">
        <v>676</v>
      </c>
      <c r="Q1167" s="2270" t="s">
        <v>2770</v>
      </c>
      <c r="R1167" s="2270">
        <v>0</v>
      </c>
      <c r="S1167" s="2271" t="s">
        <v>676</v>
      </c>
      <c r="T1167" s="2271" t="s">
        <v>676</v>
      </c>
      <c r="U1167" s="2271" t="s">
        <v>676</v>
      </c>
      <c r="V1167" s="2271" t="s">
        <v>676</v>
      </c>
    </row>
    <row r="1168" spans="3:22" ht="45">
      <c r="C1168" s="2265"/>
      <c r="D1168" s="2268">
        <v>9</v>
      </c>
      <c r="E1168" s="2882" t="s">
        <v>3106</v>
      </c>
      <c r="F1168" s="2883"/>
      <c r="G1168" s="2883"/>
      <c r="H1168" s="2884"/>
      <c r="I1168" s="2882" t="s">
        <v>699</v>
      </c>
      <c r="J1168" s="2884"/>
      <c r="K1168" s="2882" t="s">
        <v>2762</v>
      </c>
      <c r="L1168" s="2884"/>
      <c r="M1168" s="2268" t="s">
        <v>2763</v>
      </c>
      <c r="N1168" s="2268" t="s">
        <v>2775</v>
      </c>
      <c r="O1168" s="2268" t="s">
        <v>2776</v>
      </c>
      <c r="P1168" s="2269">
        <v>450000</v>
      </c>
      <c r="Q1168" s="2270" t="s">
        <v>2766</v>
      </c>
      <c r="R1168" s="2270">
        <v>450000</v>
      </c>
      <c r="S1168" s="2268" t="s">
        <v>688</v>
      </c>
      <c r="T1168" s="2268" t="s">
        <v>2767</v>
      </c>
      <c r="U1168" s="2268" t="s">
        <v>2768</v>
      </c>
      <c r="V1168" s="2268"/>
    </row>
    <row r="1169" spans="3:22" ht="15">
      <c r="C1169" s="2265"/>
      <c r="D1169" s="2271" t="s">
        <v>676</v>
      </c>
      <c r="E1169" s="2888" t="s">
        <v>676</v>
      </c>
      <c r="F1169" s="2889"/>
      <c r="G1169" s="2889"/>
      <c r="H1169" s="2890"/>
      <c r="I1169" s="2888" t="s">
        <v>676</v>
      </c>
      <c r="J1169" s="2890"/>
      <c r="K1169" s="2888" t="s">
        <v>676</v>
      </c>
      <c r="L1169" s="2890"/>
      <c r="M1169" s="2271" t="s">
        <v>676</v>
      </c>
      <c r="N1169" s="2271" t="s">
        <v>676</v>
      </c>
      <c r="O1169" s="2271" t="s">
        <v>676</v>
      </c>
      <c r="P1169" s="2272" t="s">
        <v>676</v>
      </c>
      <c r="Q1169" s="2270" t="s">
        <v>2769</v>
      </c>
      <c r="R1169" s="2270">
        <v>0</v>
      </c>
      <c r="S1169" s="2271" t="s">
        <v>676</v>
      </c>
      <c r="T1169" s="2271" t="s">
        <v>676</v>
      </c>
      <c r="U1169" s="2271" t="s">
        <v>676</v>
      </c>
      <c r="V1169" s="2271" t="s">
        <v>676</v>
      </c>
    </row>
    <row r="1170" spans="3:22" ht="15">
      <c r="C1170" s="2265"/>
      <c r="D1170" s="2271" t="s">
        <v>676</v>
      </c>
      <c r="E1170" s="2891" t="s">
        <v>676</v>
      </c>
      <c r="F1170" s="2889"/>
      <c r="G1170" s="2889"/>
      <c r="H1170" s="2890"/>
      <c r="I1170" s="2892" t="s">
        <v>676</v>
      </c>
      <c r="J1170" s="2889"/>
      <c r="K1170" s="2888" t="s">
        <v>676</v>
      </c>
      <c r="L1170" s="2890"/>
      <c r="M1170" s="2271" t="s">
        <v>676</v>
      </c>
      <c r="N1170" s="2271" t="s">
        <v>676</v>
      </c>
      <c r="O1170" s="2271" t="s">
        <v>676</v>
      </c>
      <c r="P1170" s="2272" t="s">
        <v>676</v>
      </c>
      <c r="Q1170" s="2270" t="s">
        <v>2770</v>
      </c>
      <c r="R1170" s="2270">
        <v>0</v>
      </c>
      <c r="S1170" s="2271" t="s">
        <v>676</v>
      </c>
      <c r="T1170" s="2271" t="s">
        <v>676</v>
      </c>
      <c r="U1170" s="2271" t="s">
        <v>676</v>
      </c>
      <c r="V1170" s="2271" t="s">
        <v>676</v>
      </c>
    </row>
    <row r="1171" spans="3:22" ht="45">
      <c r="C1171" s="2265"/>
      <c r="D1171" s="2268">
        <v>10</v>
      </c>
      <c r="E1171" s="2882" t="s">
        <v>3107</v>
      </c>
      <c r="F1171" s="2883"/>
      <c r="G1171" s="2883"/>
      <c r="H1171" s="2884"/>
      <c r="I1171" s="2882" t="s">
        <v>3033</v>
      </c>
      <c r="J1171" s="2884"/>
      <c r="K1171" s="2882" t="s">
        <v>2762</v>
      </c>
      <c r="L1171" s="2884"/>
      <c r="M1171" s="2268" t="s">
        <v>2763</v>
      </c>
      <c r="N1171" s="2268" t="s">
        <v>2764</v>
      </c>
      <c r="O1171" s="2268" t="s">
        <v>2765</v>
      </c>
      <c r="P1171" s="2269">
        <v>20000</v>
      </c>
      <c r="Q1171" s="2270" t="s">
        <v>2766</v>
      </c>
      <c r="R1171" s="2270">
        <v>20000</v>
      </c>
      <c r="S1171" s="2268"/>
      <c r="T1171" s="2268" t="s">
        <v>2767</v>
      </c>
      <c r="U1171" s="2268" t="s">
        <v>2768</v>
      </c>
      <c r="V1171" s="2268"/>
    </row>
    <row r="1172" spans="3:22" ht="15">
      <c r="C1172" s="2265"/>
      <c r="D1172" s="2271" t="s">
        <v>676</v>
      </c>
      <c r="E1172" s="2888" t="s">
        <v>676</v>
      </c>
      <c r="F1172" s="2889"/>
      <c r="G1172" s="2889"/>
      <c r="H1172" s="2890"/>
      <c r="I1172" s="2888" t="s">
        <v>676</v>
      </c>
      <c r="J1172" s="2890"/>
      <c r="K1172" s="2888" t="s">
        <v>676</v>
      </c>
      <c r="L1172" s="2890"/>
      <c r="M1172" s="2271" t="s">
        <v>676</v>
      </c>
      <c r="N1172" s="2271" t="s">
        <v>676</v>
      </c>
      <c r="O1172" s="2271" t="s">
        <v>676</v>
      </c>
      <c r="P1172" s="2272" t="s">
        <v>676</v>
      </c>
      <c r="Q1172" s="2270" t="s">
        <v>2769</v>
      </c>
      <c r="R1172" s="2270">
        <v>0</v>
      </c>
      <c r="S1172" s="2271" t="s">
        <v>676</v>
      </c>
      <c r="T1172" s="2271" t="s">
        <v>676</v>
      </c>
      <c r="U1172" s="2271" t="s">
        <v>676</v>
      </c>
      <c r="V1172" s="2271" t="s">
        <v>676</v>
      </c>
    </row>
    <row r="1173" spans="3:22" ht="15">
      <c r="C1173" s="2265"/>
      <c r="D1173" s="2271" t="s">
        <v>676</v>
      </c>
      <c r="E1173" s="2891" t="s">
        <v>676</v>
      </c>
      <c r="F1173" s="2889"/>
      <c r="G1173" s="2889"/>
      <c r="H1173" s="2890"/>
      <c r="I1173" s="2892" t="s">
        <v>676</v>
      </c>
      <c r="J1173" s="2889"/>
      <c r="K1173" s="2888" t="s">
        <v>676</v>
      </c>
      <c r="L1173" s="2890"/>
      <c r="M1173" s="2271" t="s">
        <v>676</v>
      </c>
      <c r="N1173" s="2271" t="s">
        <v>676</v>
      </c>
      <c r="O1173" s="2271" t="s">
        <v>676</v>
      </c>
      <c r="P1173" s="2272" t="s">
        <v>676</v>
      </c>
      <c r="Q1173" s="2270" t="s">
        <v>2770</v>
      </c>
      <c r="R1173" s="2270">
        <v>0</v>
      </c>
      <c r="S1173" s="2271" t="s">
        <v>676</v>
      </c>
      <c r="T1173" s="2271" t="s">
        <v>676</v>
      </c>
      <c r="U1173" s="2271" t="s">
        <v>676</v>
      </c>
      <c r="V1173" s="2271" t="s">
        <v>676</v>
      </c>
    </row>
    <row r="1174" spans="3:22" ht="45">
      <c r="C1174" s="2265"/>
      <c r="D1174" s="2268">
        <v>11</v>
      </c>
      <c r="E1174" s="2882" t="s">
        <v>3108</v>
      </c>
      <c r="F1174" s="2883"/>
      <c r="G1174" s="2883"/>
      <c r="H1174" s="2884"/>
      <c r="I1174" s="2882" t="s">
        <v>1310</v>
      </c>
      <c r="J1174" s="2884"/>
      <c r="K1174" s="2882" t="s">
        <v>2762</v>
      </c>
      <c r="L1174" s="2884"/>
      <c r="M1174" s="2268" t="s">
        <v>2763</v>
      </c>
      <c r="N1174" s="2268" t="s">
        <v>2764</v>
      </c>
      <c r="O1174" s="2268" t="s">
        <v>2765</v>
      </c>
      <c r="P1174" s="2269">
        <v>100000</v>
      </c>
      <c r="Q1174" s="2270" t="s">
        <v>2766</v>
      </c>
      <c r="R1174" s="2270">
        <v>100000</v>
      </c>
      <c r="S1174" s="2268"/>
      <c r="T1174" s="2268" t="s">
        <v>2767</v>
      </c>
      <c r="U1174" s="2268" t="s">
        <v>2768</v>
      </c>
      <c r="V1174" s="2268"/>
    </row>
    <row r="1175" spans="3:22" ht="15">
      <c r="C1175" s="2265"/>
      <c r="D1175" s="2271" t="s">
        <v>676</v>
      </c>
      <c r="E1175" s="2888" t="s">
        <v>676</v>
      </c>
      <c r="F1175" s="2889"/>
      <c r="G1175" s="2889"/>
      <c r="H1175" s="2890"/>
      <c r="I1175" s="2888" t="s">
        <v>676</v>
      </c>
      <c r="J1175" s="2890"/>
      <c r="K1175" s="2888" t="s">
        <v>676</v>
      </c>
      <c r="L1175" s="2890"/>
      <c r="M1175" s="2271" t="s">
        <v>676</v>
      </c>
      <c r="N1175" s="2271" t="s">
        <v>676</v>
      </c>
      <c r="O1175" s="2271" t="s">
        <v>676</v>
      </c>
      <c r="P1175" s="2272" t="s">
        <v>676</v>
      </c>
      <c r="Q1175" s="2270" t="s">
        <v>2769</v>
      </c>
      <c r="R1175" s="2270">
        <v>0</v>
      </c>
      <c r="S1175" s="2271" t="s">
        <v>676</v>
      </c>
      <c r="T1175" s="2271" t="s">
        <v>676</v>
      </c>
      <c r="U1175" s="2271" t="s">
        <v>676</v>
      </c>
      <c r="V1175" s="2271" t="s">
        <v>676</v>
      </c>
    </row>
    <row r="1176" spans="3:22" ht="15">
      <c r="C1176" s="2265"/>
      <c r="D1176" s="2271" t="s">
        <v>676</v>
      </c>
      <c r="E1176" s="2891" t="s">
        <v>676</v>
      </c>
      <c r="F1176" s="2889"/>
      <c r="G1176" s="2889"/>
      <c r="H1176" s="2890"/>
      <c r="I1176" s="2892" t="s">
        <v>676</v>
      </c>
      <c r="J1176" s="2889"/>
      <c r="K1176" s="2888" t="s">
        <v>676</v>
      </c>
      <c r="L1176" s="2890"/>
      <c r="M1176" s="2271" t="s">
        <v>676</v>
      </c>
      <c r="N1176" s="2271" t="s">
        <v>676</v>
      </c>
      <c r="O1176" s="2271" t="s">
        <v>676</v>
      </c>
      <c r="P1176" s="2272" t="s">
        <v>676</v>
      </c>
      <c r="Q1176" s="2270" t="s">
        <v>2770</v>
      </c>
      <c r="R1176" s="2270">
        <v>0</v>
      </c>
      <c r="S1176" s="2271" t="s">
        <v>676</v>
      </c>
      <c r="T1176" s="2271" t="s">
        <v>676</v>
      </c>
      <c r="U1176" s="2271" t="s">
        <v>676</v>
      </c>
      <c r="V1176" s="2271" t="s">
        <v>676</v>
      </c>
    </row>
    <row r="1177" spans="3:22" ht="45">
      <c r="C1177" s="2265"/>
      <c r="D1177" s="2268">
        <v>12</v>
      </c>
      <c r="E1177" s="2882" t="s">
        <v>1211</v>
      </c>
      <c r="F1177" s="2883"/>
      <c r="G1177" s="2883"/>
      <c r="H1177" s="2884"/>
      <c r="I1177" s="2882" t="s">
        <v>3109</v>
      </c>
      <c r="J1177" s="2884"/>
      <c r="K1177" s="2882" t="s">
        <v>2762</v>
      </c>
      <c r="L1177" s="2884"/>
      <c r="M1177" s="2268" t="s">
        <v>2763</v>
      </c>
      <c r="N1177" s="2268" t="s">
        <v>2775</v>
      </c>
      <c r="O1177" s="2268" t="s">
        <v>2765</v>
      </c>
      <c r="P1177" s="2269">
        <v>100000</v>
      </c>
      <c r="Q1177" s="2270" t="s">
        <v>2766</v>
      </c>
      <c r="R1177" s="2270">
        <v>100000</v>
      </c>
      <c r="S1177" s="2268"/>
      <c r="T1177" s="2268" t="s">
        <v>2767</v>
      </c>
      <c r="U1177" s="2268" t="s">
        <v>2768</v>
      </c>
      <c r="V1177" s="2268"/>
    </row>
    <row r="1178" spans="3:22" ht="15">
      <c r="C1178" s="2265"/>
      <c r="D1178" s="2271" t="s">
        <v>676</v>
      </c>
      <c r="E1178" s="2888" t="s">
        <v>676</v>
      </c>
      <c r="F1178" s="2889"/>
      <c r="G1178" s="2889"/>
      <c r="H1178" s="2890"/>
      <c r="I1178" s="2888" t="s">
        <v>676</v>
      </c>
      <c r="J1178" s="2890"/>
      <c r="K1178" s="2888" t="s">
        <v>676</v>
      </c>
      <c r="L1178" s="2890"/>
      <c r="M1178" s="2271" t="s">
        <v>676</v>
      </c>
      <c r="N1178" s="2271" t="s">
        <v>676</v>
      </c>
      <c r="O1178" s="2271" t="s">
        <v>676</v>
      </c>
      <c r="P1178" s="2272" t="s">
        <v>676</v>
      </c>
      <c r="Q1178" s="2270" t="s">
        <v>2769</v>
      </c>
      <c r="R1178" s="2270">
        <v>0</v>
      </c>
      <c r="S1178" s="2271" t="s">
        <v>676</v>
      </c>
      <c r="T1178" s="2271" t="s">
        <v>676</v>
      </c>
      <c r="U1178" s="2271" t="s">
        <v>676</v>
      </c>
      <c r="V1178" s="2271" t="s">
        <v>676</v>
      </c>
    </row>
    <row r="1179" spans="3:22" ht="15">
      <c r="C1179" s="2265"/>
      <c r="D1179" s="2273" t="s">
        <v>676</v>
      </c>
      <c r="E1179" s="2896" t="s">
        <v>676</v>
      </c>
      <c r="F1179" s="2942"/>
      <c r="G1179" s="2942"/>
      <c r="H1179" s="2943"/>
      <c r="I1179" s="2899" t="s">
        <v>676</v>
      </c>
      <c r="J1179" s="2942"/>
      <c r="K1179" s="2900" t="s">
        <v>676</v>
      </c>
      <c r="L1179" s="2943"/>
      <c r="M1179" s="2273" t="s">
        <v>676</v>
      </c>
      <c r="N1179" s="2273" t="s">
        <v>676</v>
      </c>
      <c r="O1179" s="2273" t="s">
        <v>676</v>
      </c>
      <c r="P1179" s="2274" t="s">
        <v>676</v>
      </c>
      <c r="Q1179" s="2270" t="s">
        <v>2770</v>
      </c>
      <c r="R1179" s="2270">
        <v>0</v>
      </c>
      <c r="S1179" s="2273" t="s">
        <v>676</v>
      </c>
      <c r="T1179" s="2273" t="s">
        <v>676</v>
      </c>
      <c r="U1179" s="2273" t="s">
        <v>676</v>
      </c>
      <c r="V1179" s="2273" t="s">
        <v>676</v>
      </c>
    </row>
    <row r="1180" spans="3:22" ht="15">
      <c r="C1180" s="2368"/>
      <c r="D1180" s="2369" t="s">
        <v>82</v>
      </c>
      <c r="E1180" s="2370"/>
      <c r="F1180" s="2371"/>
      <c r="G1180" s="2371"/>
      <c r="H1180" s="2372"/>
      <c r="I1180" s="2372"/>
      <c r="J1180" s="2415"/>
      <c r="K1180" s="2372"/>
      <c r="L1180" s="2415"/>
      <c r="M1180" s="2372"/>
      <c r="N1180" s="2372"/>
      <c r="O1180" s="2372"/>
      <c r="P1180" s="2373">
        <f>SUM(P1144:P1179)</f>
        <v>1335000</v>
      </c>
      <c r="Q1180" s="2374"/>
      <c r="R1180" s="2374">
        <f>SUM(R1144:R1179)</f>
        <v>1335000</v>
      </c>
      <c r="S1180" s="2375"/>
      <c r="T1180" s="2375"/>
      <c r="U1180" s="2375"/>
      <c r="V1180" s="2411"/>
    </row>
    <row r="1181" spans="3:22" ht="20.25">
      <c r="C1181" s="2377"/>
      <c r="D1181" s="2378"/>
      <c r="E1181" s="2379"/>
      <c r="F1181" s="2379"/>
      <c r="G1181" s="2380"/>
      <c r="H1181" s="2377"/>
      <c r="I1181" s="2377"/>
      <c r="J1181" s="2377"/>
      <c r="K1181" s="2377"/>
      <c r="L1181" s="2381"/>
      <c r="M1181" s="2381"/>
      <c r="N1181" s="2381"/>
      <c r="O1181" s="2381"/>
      <c r="P1181" s="2381"/>
      <c r="Q1181" s="2284" t="s">
        <v>2789</v>
      </c>
      <c r="R1181" s="2381"/>
      <c r="S1181" s="2381"/>
      <c r="T1181" s="2381"/>
      <c r="U1181" s="2381"/>
      <c r="V1181" s="2412"/>
    </row>
    <row r="1182" spans="3:22" ht="20.25">
      <c r="C1182" s="2381"/>
      <c r="D1182" s="2381"/>
      <c r="E1182" s="2383"/>
      <c r="F1182" s="2383"/>
      <c r="G1182" s="2383"/>
      <c r="H1182" s="2381"/>
      <c r="I1182" s="2381"/>
      <c r="J1182" s="2381"/>
      <c r="K1182" s="2381"/>
      <c r="L1182" s="2381"/>
      <c r="M1182" s="2381"/>
      <c r="N1182" s="2381"/>
      <c r="O1182" s="2381"/>
      <c r="P1182" s="2381"/>
      <c r="Q1182" s="2284" t="s">
        <v>2790</v>
      </c>
      <c r="R1182" s="2381"/>
      <c r="S1182" s="2381"/>
      <c r="T1182" s="2381"/>
      <c r="U1182" s="2381"/>
      <c r="V1182" s="2412"/>
    </row>
    <row r="1183" spans="3:22" ht="20.25">
      <c r="C1183" s="2938" t="s">
        <v>2749</v>
      </c>
      <c r="D1183" s="2939"/>
      <c r="E1183" s="2939"/>
      <c r="F1183" s="2939"/>
      <c r="G1183" s="2939"/>
      <c r="H1183" s="2939"/>
      <c r="I1183" s="2939"/>
      <c r="J1183" s="2265"/>
      <c r="K1183" s="2265"/>
      <c r="L1183" s="2265"/>
      <c r="M1183" s="2265"/>
      <c r="N1183" s="2265"/>
      <c r="O1183" s="2265"/>
      <c r="P1183" s="2307"/>
      <c r="Q1183" s="2307"/>
      <c r="R1183" s="2307"/>
      <c r="S1183" s="2265"/>
      <c r="T1183" s="2265"/>
      <c r="U1183" s="2265"/>
      <c r="V1183" s="2265"/>
    </row>
    <row r="1184" spans="3:22" ht="15">
      <c r="C1184" s="2265"/>
      <c r="D1184" s="2265"/>
      <c r="E1184" s="2366"/>
      <c r="F1184" s="2366"/>
      <c r="G1184" s="2366"/>
      <c r="H1184" s="2265"/>
      <c r="I1184" s="2265"/>
      <c r="J1184" s="2265"/>
      <c r="K1184" s="2265"/>
      <c r="L1184" s="2265"/>
      <c r="M1184" s="2265"/>
      <c r="N1184" s="2265"/>
      <c r="O1184" s="2265"/>
      <c r="P1184" s="2307"/>
      <c r="Q1184" s="2307"/>
      <c r="R1184" s="2307"/>
      <c r="S1184" s="2265"/>
      <c r="T1184" s="2265"/>
      <c r="U1184" s="2265"/>
      <c r="V1184" s="2265"/>
    </row>
    <row r="1185" spans="3:22" ht="15">
      <c r="C1185" s="2940" t="s">
        <v>653</v>
      </c>
      <c r="D1185" s="2889"/>
      <c r="E1185" s="2889"/>
      <c r="F1185" s="2366"/>
      <c r="G1185" s="2384">
        <v>2020</v>
      </c>
      <c r="H1185" s="2265"/>
      <c r="I1185" s="2265"/>
      <c r="J1185" s="2265"/>
      <c r="K1185" s="2265"/>
      <c r="L1185" s="2265"/>
      <c r="M1185" s="2265"/>
      <c r="N1185" s="2265"/>
      <c r="O1185" s="2265"/>
      <c r="P1185" s="2307"/>
      <c r="Q1185" s="2307"/>
      <c r="R1185" s="2307"/>
      <c r="S1185" s="2265"/>
      <c r="T1185" s="2265"/>
      <c r="U1185" s="2265"/>
      <c r="V1185" s="2265"/>
    </row>
    <row r="1186" spans="3:22" ht="15">
      <c r="C1186" s="2265"/>
      <c r="D1186" s="2265"/>
      <c r="E1186" s="2366"/>
      <c r="F1186" s="2366"/>
      <c r="G1186" s="2366"/>
      <c r="H1186" s="2265"/>
      <c r="I1186" s="2265"/>
      <c r="J1186" s="2265"/>
      <c r="K1186" s="2265"/>
      <c r="L1186" s="2265"/>
      <c r="M1186" s="2265"/>
      <c r="N1186" s="2265"/>
      <c r="O1186" s="2265"/>
      <c r="P1186" s="2307"/>
      <c r="Q1186" s="2307"/>
      <c r="R1186" s="2307"/>
      <c r="S1186" s="2265"/>
      <c r="T1186" s="2265"/>
      <c r="U1186" s="2265"/>
      <c r="V1186" s="2265"/>
    </row>
    <row r="1187" spans="3:22" ht="15">
      <c r="C1187" s="2940" t="s">
        <v>655</v>
      </c>
      <c r="D1187" s="2889"/>
      <c r="E1187" s="2889"/>
      <c r="F1187" s="2366"/>
      <c r="G1187" s="2941" t="s">
        <v>2029</v>
      </c>
      <c r="H1187" s="2889"/>
      <c r="I1187" s="2889"/>
      <c r="J1187" s="2889"/>
      <c r="K1187" s="2889"/>
      <c r="L1187" s="2265"/>
      <c r="M1187" s="2265"/>
      <c r="N1187" s="2265"/>
      <c r="O1187" s="2265"/>
      <c r="P1187" s="2307"/>
      <c r="Q1187" s="2307"/>
      <c r="R1187" s="2307"/>
      <c r="S1187" s="2265"/>
      <c r="T1187" s="2265"/>
      <c r="U1187" s="2265"/>
      <c r="V1187" s="2265"/>
    </row>
    <row r="1188" spans="3:22" ht="15">
      <c r="C1188" s="2265"/>
      <c r="D1188" s="2265"/>
      <c r="E1188" s="2366"/>
      <c r="F1188" s="2366"/>
      <c r="G1188" s="2366"/>
      <c r="H1188" s="2265"/>
      <c r="I1188" s="2265"/>
      <c r="J1188" s="2265"/>
      <c r="K1188" s="2265"/>
      <c r="L1188" s="2265"/>
      <c r="M1188" s="2265"/>
      <c r="N1188" s="2265"/>
      <c r="O1188" s="2265"/>
      <c r="P1188" s="2307"/>
      <c r="Q1188" s="2307"/>
      <c r="R1188" s="2307"/>
      <c r="S1188" s="2265"/>
      <c r="T1188" s="2265"/>
      <c r="U1188" s="2265"/>
      <c r="V1188" s="2265"/>
    </row>
    <row r="1189" spans="3:22" ht="110.25">
      <c r="C1189" s="2265"/>
      <c r="D1189" s="2266" t="s">
        <v>657</v>
      </c>
      <c r="E1189" s="2893" t="s">
        <v>587</v>
      </c>
      <c r="F1189" s="2894"/>
      <c r="G1189" s="2894"/>
      <c r="H1189" s="2895"/>
      <c r="I1189" s="2893" t="s">
        <v>2751</v>
      </c>
      <c r="J1189" s="2895"/>
      <c r="K1189" s="2893" t="s">
        <v>2752</v>
      </c>
      <c r="L1189" s="2895"/>
      <c r="M1189" s="2266" t="s">
        <v>2753</v>
      </c>
      <c r="N1189" s="2266" t="s">
        <v>2754</v>
      </c>
      <c r="O1189" s="2266" t="s">
        <v>2755</v>
      </c>
      <c r="P1189" s="2267" t="s">
        <v>2756</v>
      </c>
      <c r="Q1189" s="2267" t="s">
        <v>2757</v>
      </c>
      <c r="R1189" s="2267" t="s">
        <v>2758</v>
      </c>
      <c r="S1189" s="2266" t="s">
        <v>623</v>
      </c>
      <c r="T1189" s="2266" t="s">
        <v>2759</v>
      </c>
      <c r="U1189" s="2266" t="s">
        <v>2760</v>
      </c>
      <c r="V1189" s="2266" t="s">
        <v>2761</v>
      </c>
    </row>
    <row r="1190" spans="3:22" ht="45">
      <c r="C1190" s="2265"/>
      <c r="D1190" s="2268">
        <v>1</v>
      </c>
      <c r="E1190" s="2882" t="s">
        <v>1743</v>
      </c>
      <c r="F1190" s="2883"/>
      <c r="G1190" s="2883"/>
      <c r="H1190" s="2884"/>
      <c r="I1190" s="2882" t="s">
        <v>1183</v>
      </c>
      <c r="J1190" s="2884"/>
      <c r="K1190" s="2882" t="s">
        <v>2762</v>
      </c>
      <c r="L1190" s="2884"/>
      <c r="M1190" s="2268" t="s">
        <v>2763</v>
      </c>
      <c r="N1190" s="2268" t="s">
        <v>2775</v>
      </c>
      <c r="O1190" s="2268" t="s">
        <v>2798</v>
      </c>
      <c r="P1190" s="2269">
        <v>584744</v>
      </c>
      <c r="Q1190" s="2270" t="s">
        <v>2766</v>
      </c>
      <c r="R1190" s="2270">
        <v>584744</v>
      </c>
      <c r="S1190" s="2268"/>
      <c r="T1190" s="2268" t="s">
        <v>2799</v>
      </c>
      <c r="U1190" s="2268" t="s">
        <v>2768</v>
      </c>
      <c r="V1190" s="2268"/>
    </row>
    <row r="1191" spans="3:22" ht="15">
      <c r="C1191" s="2265"/>
      <c r="D1191" s="2271" t="s">
        <v>676</v>
      </c>
      <c r="E1191" s="2888" t="s">
        <v>676</v>
      </c>
      <c r="F1191" s="2889"/>
      <c r="G1191" s="2889"/>
      <c r="H1191" s="2890"/>
      <c r="I1191" s="2888" t="s">
        <v>676</v>
      </c>
      <c r="J1191" s="2890"/>
      <c r="K1191" s="2888" t="s">
        <v>676</v>
      </c>
      <c r="L1191" s="2890"/>
      <c r="M1191" s="2271" t="s">
        <v>676</v>
      </c>
      <c r="N1191" s="2271" t="s">
        <v>676</v>
      </c>
      <c r="O1191" s="2271" t="s">
        <v>676</v>
      </c>
      <c r="P1191" s="2272" t="s">
        <v>676</v>
      </c>
      <c r="Q1191" s="2270" t="s">
        <v>2769</v>
      </c>
      <c r="R1191" s="2270">
        <v>0</v>
      </c>
      <c r="S1191" s="2271" t="s">
        <v>676</v>
      </c>
      <c r="T1191" s="2271" t="s">
        <v>676</v>
      </c>
      <c r="U1191" s="2271" t="s">
        <v>676</v>
      </c>
      <c r="V1191" s="2271" t="s">
        <v>676</v>
      </c>
    </row>
    <row r="1192" spans="3:22" ht="15">
      <c r="C1192" s="2265"/>
      <c r="D1192" s="2271" t="s">
        <v>676</v>
      </c>
      <c r="E1192" s="2891" t="s">
        <v>676</v>
      </c>
      <c r="F1192" s="2889"/>
      <c r="G1192" s="2889"/>
      <c r="H1192" s="2890"/>
      <c r="I1192" s="2892" t="s">
        <v>676</v>
      </c>
      <c r="J1192" s="2889"/>
      <c r="K1192" s="2888" t="s">
        <v>676</v>
      </c>
      <c r="L1192" s="2890"/>
      <c r="M1192" s="2271" t="s">
        <v>676</v>
      </c>
      <c r="N1192" s="2271" t="s">
        <v>676</v>
      </c>
      <c r="O1192" s="2271" t="s">
        <v>676</v>
      </c>
      <c r="P1192" s="2272" t="s">
        <v>676</v>
      </c>
      <c r="Q1192" s="2270" t="s">
        <v>2770</v>
      </c>
      <c r="R1192" s="2270">
        <v>0</v>
      </c>
      <c r="S1192" s="2271" t="s">
        <v>676</v>
      </c>
      <c r="T1192" s="2271" t="s">
        <v>676</v>
      </c>
      <c r="U1192" s="2271" t="s">
        <v>676</v>
      </c>
      <c r="V1192" s="2271" t="s">
        <v>676</v>
      </c>
    </row>
    <row r="1193" spans="3:22" ht="90">
      <c r="C1193" s="2265"/>
      <c r="D1193" s="2268">
        <v>2</v>
      </c>
      <c r="E1193" s="2882" t="s">
        <v>3110</v>
      </c>
      <c r="F1193" s="2883"/>
      <c r="G1193" s="2883"/>
      <c r="H1193" s="2884"/>
      <c r="I1193" s="2882" t="s">
        <v>1183</v>
      </c>
      <c r="J1193" s="2884"/>
      <c r="K1193" s="2882" t="s">
        <v>2762</v>
      </c>
      <c r="L1193" s="2884"/>
      <c r="M1193" s="2268" t="s">
        <v>2802</v>
      </c>
      <c r="N1193" s="2268" t="s">
        <v>2775</v>
      </c>
      <c r="O1193" s="2268" t="s">
        <v>2776</v>
      </c>
      <c r="P1193" s="2269">
        <v>5130000</v>
      </c>
      <c r="Q1193" s="2270" t="s">
        <v>2766</v>
      </c>
      <c r="R1193" s="2270">
        <v>4830000</v>
      </c>
      <c r="S1193" s="2268" t="s">
        <v>892</v>
      </c>
      <c r="T1193" s="2268" t="s">
        <v>2799</v>
      </c>
      <c r="U1193" s="2268" t="s">
        <v>2768</v>
      </c>
      <c r="V1193" s="2268" t="s">
        <v>2867</v>
      </c>
    </row>
    <row r="1194" spans="3:22" ht="15">
      <c r="C1194" s="2265"/>
      <c r="D1194" s="2271" t="s">
        <v>676</v>
      </c>
      <c r="E1194" s="2888" t="s">
        <v>676</v>
      </c>
      <c r="F1194" s="2889"/>
      <c r="G1194" s="2889"/>
      <c r="H1194" s="2890"/>
      <c r="I1194" s="2888" t="s">
        <v>676</v>
      </c>
      <c r="J1194" s="2890"/>
      <c r="K1194" s="2888" t="s">
        <v>676</v>
      </c>
      <c r="L1194" s="2890"/>
      <c r="M1194" s="2271" t="s">
        <v>676</v>
      </c>
      <c r="N1194" s="2271" t="s">
        <v>676</v>
      </c>
      <c r="O1194" s="2271" t="s">
        <v>676</v>
      </c>
      <c r="P1194" s="2272" t="s">
        <v>676</v>
      </c>
      <c r="Q1194" s="2270" t="s">
        <v>2769</v>
      </c>
      <c r="R1194" s="2270">
        <v>0</v>
      </c>
      <c r="S1194" s="2271" t="s">
        <v>676</v>
      </c>
      <c r="T1194" s="2271" t="s">
        <v>676</v>
      </c>
      <c r="U1194" s="2271" t="s">
        <v>676</v>
      </c>
      <c r="V1194" s="2271" t="s">
        <v>676</v>
      </c>
    </row>
    <row r="1195" spans="3:22" ht="15">
      <c r="C1195" s="2265"/>
      <c r="D1195" s="2271" t="s">
        <v>676</v>
      </c>
      <c r="E1195" s="2891" t="s">
        <v>676</v>
      </c>
      <c r="F1195" s="2889"/>
      <c r="G1195" s="2889"/>
      <c r="H1195" s="2890"/>
      <c r="I1195" s="2892" t="s">
        <v>676</v>
      </c>
      <c r="J1195" s="2889"/>
      <c r="K1195" s="2888" t="s">
        <v>676</v>
      </c>
      <c r="L1195" s="2890"/>
      <c r="M1195" s="2271" t="s">
        <v>676</v>
      </c>
      <c r="N1195" s="2271" t="s">
        <v>676</v>
      </c>
      <c r="O1195" s="2271" t="s">
        <v>676</v>
      </c>
      <c r="P1195" s="2272" t="s">
        <v>676</v>
      </c>
      <c r="Q1195" s="2270" t="s">
        <v>2770</v>
      </c>
      <c r="R1195" s="2270">
        <v>300000</v>
      </c>
      <c r="S1195" s="2271" t="s">
        <v>676</v>
      </c>
      <c r="T1195" s="2271" t="s">
        <v>676</v>
      </c>
      <c r="U1195" s="2271" t="s">
        <v>676</v>
      </c>
      <c r="V1195" s="2271" t="s">
        <v>676</v>
      </c>
    </row>
    <row r="1196" spans="3:22" ht="15">
      <c r="C1196" s="2399"/>
      <c r="D1196" s="2400" t="s">
        <v>82</v>
      </c>
      <c r="E1196" s="2401"/>
      <c r="F1196" s="2401"/>
      <c r="G1196" s="2401"/>
      <c r="H1196" s="2402"/>
      <c r="I1196" s="2402"/>
      <c r="J1196" s="2403"/>
      <c r="K1196" s="2403"/>
      <c r="L1196" s="2403"/>
      <c r="M1196" s="2402"/>
      <c r="N1196" s="2402"/>
      <c r="O1196" s="2402"/>
      <c r="P1196" s="2403">
        <f>SUM(P1190:P1195)</f>
        <v>5714744</v>
      </c>
      <c r="Q1196" s="2410"/>
      <c r="R1196" s="2410">
        <f>SUM(R1190:R1195)</f>
        <v>5714744</v>
      </c>
      <c r="S1196" s="2404"/>
      <c r="T1196" s="2375"/>
      <c r="U1196" s="2375"/>
      <c r="V1196" s="2411"/>
    </row>
    <row r="1197" spans="3:22" ht="20.25">
      <c r="C1197" s="2377"/>
      <c r="D1197" s="2378"/>
      <c r="E1197" s="2379"/>
      <c r="F1197" s="2379"/>
      <c r="G1197" s="2380"/>
      <c r="H1197" s="2377"/>
      <c r="I1197" s="2377"/>
      <c r="J1197" s="2377"/>
      <c r="K1197" s="2377"/>
      <c r="L1197" s="2381"/>
      <c r="M1197" s="2381"/>
      <c r="N1197" s="2381"/>
      <c r="O1197" s="2381"/>
      <c r="P1197" s="2381"/>
      <c r="Q1197" s="2284" t="s">
        <v>2789</v>
      </c>
      <c r="R1197" s="2381"/>
      <c r="S1197" s="2381"/>
      <c r="T1197" s="2381"/>
      <c r="U1197" s="2381"/>
      <c r="V1197" s="2412"/>
    </row>
    <row r="1198" spans="3:22" ht="20.25">
      <c r="C1198" s="2381"/>
      <c r="D1198" s="2381"/>
      <c r="E1198" s="2383"/>
      <c r="F1198" s="2383"/>
      <c r="G1198" s="2383"/>
      <c r="H1198" s="2381"/>
      <c r="I1198" s="2381"/>
      <c r="J1198" s="2381"/>
      <c r="K1198" s="2381"/>
      <c r="L1198" s="2381"/>
      <c r="M1198" s="2381"/>
      <c r="N1198" s="2381"/>
      <c r="O1198" s="2381"/>
      <c r="P1198" s="2381"/>
      <c r="Q1198" s="2284" t="s">
        <v>2790</v>
      </c>
      <c r="R1198" s="2381"/>
      <c r="S1198" s="2381"/>
      <c r="T1198" s="2381"/>
      <c r="U1198" s="2381"/>
      <c r="V1198" s="2412"/>
    </row>
    <row r="1199" spans="3:22" ht="20.25">
      <c r="C1199" s="2938" t="s">
        <v>2749</v>
      </c>
      <c r="D1199" s="2939"/>
      <c r="E1199" s="2939"/>
      <c r="F1199" s="2939"/>
      <c r="G1199" s="2939"/>
      <c r="H1199" s="2939"/>
      <c r="I1199" s="2939"/>
      <c r="J1199" s="2265"/>
      <c r="K1199" s="2265"/>
      <c r="L1199" s="2265"/>
      <c r="M1199" s="2265"/>
      <c r="N1199" s="2265"/>
      <c r="O1199" s="2265"/>
      <c r="P1199" s="2307"/>
      <c r="Q1199" s="2307"/>
      <c r="R1199" s="2307"/>
      <c r="S1199" s="2265"/>
      <c r="T1199" s="2265"/>
      <c r="U1199" s="2265"/>
      <c r="V1199" s="2265"/>
    </row>
    <row r="1200" spans="3:22" ht="15">
      <c r="C1200" s="2265"/>
      <c r="D1200" s="2265"/>
      <c r="E1200" s="2366"/>
      <c r="F1200" s="2366"/>
      <c r="G1200" s="2366"/>
      <c r="H1200" s="2265"/>
      <c r="I1200" s="2265"/>
      <c r="J1200" s="2265"/>
      <c r="K1200" s="2265"/>
      <c r="L1200" s="2265"/>
      <c r="M1200" s="2265"/>
      <c r="N1200" s="2265"/>
      <c r="O1200" s="2265"/>
      <c r="P1200" s="2307"/>
      <c r="Q1200" s="2307"/>
      <c r="R1200" s="2307"/>
      <c r="S1200" s="2265"/>
      <c r="T1200" s="2265"/>
      <c r="U1200" s="2265"/>
      <c r="V1200" s="2265"/>
    </row>
    <row r="1201" spans="3:22" ht="15">
      <c r="C1201" s="2940" t="s">
        <v>653</v>
      </c>
      <c r="D1201" s="2889"/>
      <c r="E1201" s="2889"/>
      <c r="F1201" s="2366"/>
      <c r="G1201" s="2384">
        <v>2020</v>
      </c>
      <c r="H1201" s="2265"/>
      <c r="I1201" s="2265"/>
      <c r="J1201" s="2265"/>
      <c r="K1201" s="2265"/>
      <c r="L1201" s="2265"/>
      <c r="M1201" s="2265"/>
      <c r="N1201" s="2265"/>
      <c r="O1201" s="2265"/>
      <c r="P1201" s="2307"/>
      <c r="Q1201" s="2307"/>
      <c r="R1201" s="2307"/>
      <c r="S1201" s="2265"/>
      <c r="T1201" s="2265"/>
      <c r="U1201" s="2265"/>
      <c r="V1201" s="2265"/>
    </row>
    <row r="1202" spans="3:22" ht="15">
      <c r="C1202" s="2265"/>
      <c r="D1202" s="2265"/>
      <c r="E1202" s="2366"/>
      <c r="F1202" s="2366"/>
      <c r="G1202" s="2366"/>
      <c r="H1202" s="2265"/>
      <c r="I1202" s="2265"/>
      <c r="J1202" s="2265"/>
      <c r="K1202" s="2265"/>
      <c r="L1202" s="2265"/>
      <c r="M1202" s="2265"/>
      <c r="N1202" s="2265"/>
      <c r="O1202" s="2265"/>
      <c r="P1202" s="2307"/>
      <c r="Q1202" s="2307"/>
      <c r="R1202" s="2307"/>
      <c r="S1202" s="2265"/>
      <c r="T1202" s="2265"/>
      <c r="U1202" s="2265"/>
      <c r="V1202" s="2265"/>
    </row>
    <row r="1203" spans="3:22" ht="15">
      <c r="C1203" s="2940" t="s">
        <v>655</v>
      </c>
      <c r="D1203" s="2889"/>
      <c r="E1203" s="2889"/>
      <c r="F1203" s="2366"/>
      <c r="G1203" s="2941" t="s">
        <v>3111</v>
      </c>
      <c r="H1203" s="2889"/>
      <c r="I1203" s="2889"/>
      <c r="J1203" s="2889"/>
      <c r="K1203" s="2889"/>
      <c r="L1203" s="2265"/>
      <c r="M1203" s="2265"/>
      <c r="N1203" s="2265"/>
      <c r="O1203" s="2265"/>
      <c r="P1203" s="2307"/>
      <c r="Q1203" s="2307"/>
      <c r="R1203" s="2307"/>
      <c r="S1203" s="2265"/>
      <c r="T1203" s="2265"/>
      <c r="U1203" s="2265"/>
      <c r="V1203" s="2265"/>
    </row>
    <row r="1204" spans="3:22" ht="15">
      <c r="C1204" s="2265"/>
      <c r="D1204" s="2265"/>
      <c r="E1204" s="2366"/>
      <c r="F1204" s="2366"/>
      <c r="G1204" s="2366"/>
      <c r="H1204" s="2265"/>
      <c r="I1204" s="2265"/>
      <c r="J1204" s="2265"/>
      <c r="K1204" s="2265"/>
      <c r="L1204" s="2265"/>
      <c r="M1204" s="2265"/>
      <c r="N1204" s="2265"/>
      <c r="O1204" s="2265"/>
      <c r="P1204" s="2307"/>
      <c r="Q1204" s="2307"/>
      <c r="R1204" s="2307"/>
      <c r="S1204" s="2265"/>
      <c r="T1204" s="2265"/>
      <c r="U1204" s="2265"/>
      <c r="V1204" s="2265"/>
    </row>
    <row r="1205" spans="3:22" ht="110.25">
      <c r="C1205" s="2265"/>
      <c r="D1205" s="2266" t="s">
        <v>657</v>
      </c>
      <c r="E1205" s="2893" t="s">
        <v>587</v>
      </c>
      <c r="F1205" s="2894"/>
      <c r="G1205" s="2894"/>
      <c r="H1205" s="2895"/>
      <c r="I1205" s="2893" t="s">
        <v>2751</v>
      </c>
      <c r="J1205" s="2895"/>
      <c r="K1205" s="2893" t="s">
        <v>2752</v>
      </c>
      <c r="L1205" s="2895"/>
      <c r="M1205" s="2266" t="s">
        <v>2753</v>
      </c>
      <c r="N1205" s="2266" t="s">
        <v>2754</v>
      </c>
      <c r="O1205" s="2266" t="s">
        <v>2755</v>
      </c>
      <c r="P1205" s="2267" t="s">
        <v>2756</v>
      </c>
      <c r="Q1205" s="2267" t="s">
        <v>2757</v>
      </c>
      <c r="R1205" s="2267" t="s">
        <v>2758</v>
      </c>
      <c r="S1205" s="2266" t="s">
        <v>623</v>
      </c>
      <c r="T1205" s="2266" t="s">
        <v>2759</v>
      </c>
      <c r="U1205" s="2266" t="s">
        <v>2760</v>
      </c>
      <c r="V1205" s="2266" t="s">
        <v>2761</v>
      </c>
    </row>
    <row r="1206" spans="3:22" ht="45">
      <c r="C1206" s="2265"/>
      <c r="D1206" s="2268">
        <v>1</v>
      </c>
      <c r="E1206" s="2882" t="s">
        <v>3112</v>
      </c>
      <c r="F1206" s="2883"/>
      <c r="G1206" s="2883"/>
      <c r="H1206" s="2884"/>
      <c r="I1206" s="2882" t="s">
        <v>2849</v>
      </c>
      <c r="J1206" s="2884"/>
      <c r="K1206" s="2882" t="s">
        <v>2762</v>
      </c>
      <c r="L1206" s="2884"/>
      <c r="M1206" s="2268" t="s">
        <v>2763</v>
      </c>
      <c r="N1206" s="2268" t="s">
        <v>2764</v>
      </c>
      <c r="O1206" s="2268" t="s">
        <v>2765</v>
      </c>
      <c r="P1206" s="2269">
        <v>83333</v>
      </c>
      <c r="Q1206" s="2270" t="s">
        <v>2766</v>
      </c>
      <c r="R1206" s="2270">
        <v>83333</v>
      </c>
      <c r="S1206" s="2268"/>
      <c r="T1206" s="2268" t="s">
        <v>2777</v>
      </c>
      <c r="U1206" s="2268" t="s">
        <v>2768</v>
      </c>
      <c r="V1206" s="2268"/>
    </row>
    <row r="1207" spans="3:22" ht="15">
      <c r="C1207" s="2265"/>
      <c r="D1207" s="2271" t="s">
        <v>676</v>
      </c>
      <c r="E1207" s="2888" t="s">
        <v>676</v>
      </c>
      <c r="F1207" s="2889"/>
      <c r="G1207" s="2889"/>
      <c r="H1207" s="2890"/>
      <c r="I1207" s="2888" t="s">
        <v>676</v>
      </c>
      <c r="J1207" s="2890"/>
      <c r="K1207" s="2888" t="s">
        <v>676</v>
      </c>
      <c r="L1207" s="2890"/>
      <c r="M1207" s="2271" t="s">
        <v>676</v>
      </c>
      <c r="N1207" s="2271" t="s">
        <v>676</v>
      </c>
      <c r="O1207" s="2271" t="s">
        <v>676</v>
      </c>
      <c r="P1207" s="2272" t="s">
        <v>676</v>
      </c>
      <c r="Q1207" s="2270" t="s">
        <v>2769</v>
      </c>
      <c r="R1207" s="2270">
        <v>0</v>
      </c>
      <c r="S1207" s="2271" t="s">
        <v>676</v>
      </c>
      <c r="T1207" s="2271" t="s">
        <v>676</v>
      </c>
      <c r="U1207" s="2271" t="s">
        <v>676</v>
      </c>
      <c r="V1207" s="2271" t="s">
        <v>676</v>
      </c>
    </row>
    <row r="1208" spans="3:22" ht="15">
      <c r="C1208" s="2265"/>
      <c r="D1208" s="2271" t="s">
        <v>676</v>
      </c>
      <c r="E1208" s="2891" t="s">
        <v>676</v>
      </c>
      <c r="F1208" s="2889"/>
      <c r="G1208" s="2889"/>
      <c r="H1208" s="2890"/>
      <c r="I1208" s="2892" t="s">
        <v>676</v>
      </c>
      <c r="J1208" s="2889"/>
      <c r="K1208" s="2888" t="s">
        <v>676</v>
      </c>
      <c r="L1208" s="2890"/>
      <c r="M1208" s="2271" t="s">
        <v>676</v>
      </c>
      <c r="N1208" s="2271" t="s">
        <v>676</v>
      </c>
      <c r="O1208" s="2271" t="s">
        <v>676</v>
      </c>
      <c r="P1208" s="2272" t="s">
        <v>676</v>
      </c>
      <c r="Q1208" s="2270" t="s">
        <v>2770</v>
      </c>
      <c r="R1208" s="2270">
        <v>0</v>
      </c>
      <c r="S1208" s="2271" t="s">
        <v>676</v>
      </c>
      <c r="T1208" s="2271" t="s">
        <v>676</v>
      </c>
      <c r="U1208" s="2271" t="s">
        <v>676</v>
      </c>
      <c r="V1208" s="2271" t="s">
        <v>676</v>
      </c>
    </row>
    <row r="1209" spans="3:22" ht="45">
      <c r="C1209" s="2265"/>
      <c r="D1209" s="2268">
        <v>2</v>
      </c>
      <c r="E1209" s="2882" t="s">
        <v>1721</v>
      </c>
      <c r="F1209" s="2883"/>
      <c r="G1209" s="2883"/>
      <c r="H1209" s="2884"/>
      <c r="I1209" s="2882" t="s">
        <v>699</v>
      </c>
      <c r="J1209" s="2884"/>
      <c r="K1209" s="2882" t="s">
        <v>2762</v>
      </c>
      <c r="L1209" s="2884"/>
      <c r="M1209" s="2268" t="s">
        <v>2763</v>
      </c>
      <c r="N1209" s="2268" t="s">
        <v>2775</v>
      </c>
      <c r="O1209" s="2268" t="s">
        <v>2776</v>
      </c>
      <c r="P1209" s="2269">
        <v>166666</v>
      </c>
      <c r="Q1209" s="2270" t="s">
        <v>2766</v>
      </c>
      <c r="R1209" s="2270">
        <v>166666</v>
      </c>
      <c r="S1209" s="2268" t="s">
        <v>688</v>
      </c>
      <c r="T1209" s="2268" t="s">
        <v>2919</v>
      </c>
      <c r="U1209" s="2268" t="s">
        <v>2768</v>
      </c>
      <c r="V1209" s="2268"/>
    </row>
    <row r="1210" spans="3:22" ht="15">
      <c r="C1210" s="2265"/>
      <c r="D1210" s="2271" t="s">
        <v>676</v>
      </c>
      <c r="E1210" s="2888" t="s">
        <v>676</v>
      </c>
      <c r="F1210" s="2889"/>
      <c r="G1210" s="2889"/>
      <c r="H1210" s="2890"/>
      <c r="I1210" s="2888" t="s">
        <v>676</v>
      </c>
      <c r="J1210" s="2890"/>
      <c r="K1210" s="2888" t="s">
        <v>676</v>
      </c>
      <c r="L1210" s="2890"/>
      <c r="M1210" s="2271" t="s">
        <v>676</v>
      </c>
      <c r="N1210" s="2271" t="s">
        <v>676</v>
      </c>
      <c r="O1210" s="2271" t="s">
        <v>676</v>
      </c>
      <c r="P1210" s="2272" t="s">
        <v>676</v>
      </c>
      <c r="Q1210" s="2270" t="s">
        <v>2769</v>
      </c>
      <c r="R1210" s="2270">
        <v>0</v>
      </c>
      <c r="S1210" s="2271" t="s">
        <v>676</v>
      </c>
      <c r="T1210" s="2271" t="s">
        <v>676</v>
      </c>
      <c r="U1210" s="2271" t="s">
        <v>676</v>
      </c>
      <c r="V1210" s="2271" t="s">
        <v>676</v>
      </c>
    </row>
    <row r="1211" spans="3:22" ht="15">
      <c r="C1211" s="2265"/>
      <c r="D1211" s="2271" t="s">
        <v>676</v>
      </c>
      <c r="E1211" s="2891" t="s">
        <v>676</v>
      </c>
      <c r="F1211" s="2889"/>
      <c r="G1211" s="2889"/>
      <c r="H1211" s="2890"/>
      <c r="I1211" s="2892" t="s">
        <v>676</v>
      </c>
      <c r="J1211" s="2889"/>
      <c r="K1211" s="2888" t="s">
        <v>676</v>
      </c>
      <c r="L1211" s="2890"/>
      <c r="M1211" s="2271" t="s">
        <v>676</v>
      </c>
      <c r="N1211" s="2271" t="s">
        <v>676</v>
      </c>
      <c r="O1211" s="2271" t="s">
        <v>676</v>
      </c>
      <c r="P1211" s="2272" t="s">
        <v>676</v>
      </c>
      <c r="Q1211" s="2270" t="s">
        <v>2770</v>
      </c>
      <c r="R1211" s="2270">
        <v>0</v>
      </c>
      <c r="S1211" s="2271" t="s">
        <v>676</v>
      </c>
      <c r="T1211" s="2271" t="s">
        <v>676</v>
      </c>
      <c r="U1211" s="2271" t="s">
        <v>676</v>
      </c>
      <c r="V1211" s="2271" t="s">
        <v>676</v>
      </c>
    </row>
    <row r="1212" spans="3:22" ht="45">
      <c r="C1212" s="2265"/>
      <c r="D1212" s="2268">
        <v>3</v>
      </c>
      <c r="E1212" s="2882" t="s">
        <v>3113</v>
      </c>
      <c r="F1212" s="2883"/>
      <c r="G1212" s="2883"/>
      <c r="H1212" s="2884"/>
      <c r="I1212" s="2882" t="s">
        <v>3114</v>
      </c>
      <c r="J1212" s="2884"/>
      <c r="K1212" s="2882" t="s">
        <v>2762</v>
      </c>
      <c r="L1212" s="2884"/>
      <c r="M1212" s="2268" t="s">
        <v>2763</v>
      </c>
      <c r="N1212" s="2268" t="s">
        <v>2764</v>
      </c>
      <c r="O1212" s="2268" t="s">
        <v>2765</v>
      </c>
      <c r="P1212" s="2269">
        <v>20000</v>
      </c>
      <c r="Q1212" s="2270" t="s">
        <v>2766</v>
      </c>
      <c r="R1212" s="2270">
        <v>20000</v>
      </c>
      <c r="S1212" s="2268"/>
      <c r="T1212" s="2268" t="s">
        <v>2799</v>
      </c>
      <c r="U1212" s="2268" t="s">
        <v>2768</v>
      </c>
      <c r="V1212" s="2268"/>
    </row>
    <row r="1213" spans="3:22" ht="15">
      <c r="C1213" s="2265"/>
      <c r="D1213" s="2271" t="s">
        <v>676</v>
      </c>
      <c r="E1213" s="2888" t="s">
        <v>676</v>
      </c>
      <c r="F1213" s="2889"/>
      <c r="G1213" s="2889"/>
      <c r="H1213" s="2890"/>
      <c r="I1213" s="2888" t="s">
        <v>676</v>
      </c>
      <c r="J1213" s="2890"/>
      <c r="K1213" s="2888" t="s">
        <v>676</v>
      </c>
      <c r="L1213" s="2890"/>
      <c r="M1213" s="2271" t="s">
        <v>676</v>
      </c>
      <c r="N1213" s="2271" t="s">
        <v>676</v>
      </c>
      <c r="O1213" s="2271" t="s">
        <v>676</v>
      </c>
      <c r="P1213" s="2272" t="s">
        <v>676</v>
      </c>
      <c r="Q1213" s="2270" t="s">
        <v>2769</v>
      </c>
      <c r="R1213" s="2270">
        <v>0</v>
      </c>
      <c r="S1213" s="2271" t="s">
        <v>676</v>
      </c>
      <c r="T1213" s="2271" t="s">
        <v>676</v>
      </c>
      <c r="U1213" s="2271" t="s">
        <v>676</v>
      </c>
      <c r="V1213" s="2271" t="s">
        <v>676</v>
      </c>
    </row>
    <row r="1214" spans="3:22" ht="15">
      <c r="C1214" s="2265"/>
      <c r="D1214" s="2271" t="s">
        <v>676</v>
      </c>
      <c r="E1214" s="2891" t="s">
        <v>676</v>
      </c>
      <c r="F1214" s="2889"/>
      <c r="G1214" s="2889"/>
      <c r="H1214" s="2890"/>
      <c r="I1214" s="2892" t="s">
        <v>676</v>
      </c>
      <c r="J1214" s="2889"/>
      <c r="K1214" s="2888" t="s">
        <v>676</v>
      </c>
      <c r="L1214" s="2890"/>
      <c r="M1214" s="2271" t="s">
        <v>676</v>
      </c>
      <c r="N1214" s="2271" t="s">
        <v>676</v>
      </c>
      <c r="O1214" s="2271" t="s">
        <v>676</v>
      </c>
      <c r="P1214" s="2272" t="s">
        <v>676</v>
      </c>
      <c r="Q1214" s="2270" t="s">
        <v>2770</v>
      </c>
      <c r="R1214" s="2270">
        <v>0</v>
      </c>
      <c r="S1214" s="2271" t="s">
        <v>676</v>
      </c>
      <c r="T1214" s="2271" t="s">
        <v>676</v>
      </c>
      <c r="U1214" s="2271" t="s">
        <v>676</v>
      </c>
      <c r="V1214" s="2271" t="s">
        <v>676</v>
      </c>
    </row>
    <row r="1215" spans="3:22" ht="45">
      <c r="C1215" s="2265"/>
      <c r="D1215" s="2268">
        <v>4</v>
      </c>
      <c r="E1215" s="2882" t="s">
        <v>3115</v>
      </c>
      <c r="F1215" s="2883"/>
      <c r="G1215" s="2883"/>
      <c r="H1215" s="2884"/>
      <c r="I1215" s="2882" t="s">
        <v>2970</v>
      </c>
      <c r="J1215" s="2884"/>
      <c r="K1215" s="2882" t="s">
        <v>2762</v>
      </c>
      <c r="L1215" s="2884"/>
      <c r="M1215" s="2268" t="s">
        <v>2763</v>
      </c>
      <c r="N1215" s="2268" t="s">
        <v>2764</v>
      </c>
      <c r="O1215" s="2268" t="s">
        <v>2765</v>
      </c>
      <c r="P1215" s="2269">
        <v>80000</v>
      </c>
      <c r="Q1215" s="2270" t="s">
        <v>2766</v>
      </c>
      <c r="R1215" s="2270">
        <v>80000</v>
      </c>
      <c r="S1215" s="2268"/>
      <c r="T1215" s="2268" t="s">
        <v>2932</v>
      </c>
      <c r="U1215" s="2268" t="s">
        <v>2768</v>
      </c>
      <c r="V1215" s="2268"/>
    </row>
    <row r="1216" spans="3:22" ht="15">
      <c r="C1216" s="2265"/>
      <c r="D1216" s="2271" t="s">
        <v>676</v>
      </c>
      <c r="E1216" s="2888" t="s">
        <v>676</v>
      </c>
      <c r="F1216" s="2889"/>
      <c r="G1216" s="2889"/>
      <c r="H1216" s="2890"/>
      <c r="I1216" s="2888" t="s">
        <v>676</v>
      </c>
      <c r="J1216" s="2890"/>
      <c r="K1216" s="2888" t="s">
        <v>676</v>
      </c>
      <c r="L1216" s="2890"/>
      <c r="M1216" s="2271" t="s">
        <v>676</v>
      </c>
      <c r="N1216" s="2271" t="s">
        <v>676</v>
      </c>
      <c r="O1216" s="2271" t="s">
        <v>676</v>
      </c>
      <c r="P1216" s="2272" t="s">
        <v>676</v>
      </c>
      <c r="Q1216" s="2270" t="s">
        <v>2769</v>
      </c>
      <c r="R1216" s="2270">
        <v>0</v>
      </c>
      <c r="S1216" s="2271" t="s">
        <v>676</v>
      </c>
      <c r="T1216" s="2271" t="s">
        <v>676</v>
      </c>
      <c r="U1216" s="2271" t="s">
        <v>676</v>
      </c>
      <c r="V1216" s="2271" t="s">
        <v>676</v>
      </c>
    </row>
    <row r="1217" spans="3:22" ht="15">
      <c r="C1217" s="2265"/>
      <c r="D1217" s="2271" t="s">
        <v>676</v>
      </c>
      <c r="E1217" s="2891" t="s">
        <v>676</v>
      </c>
      <c r="F1217" s="2889"/>
      <c r="G1217" s="2889"/>
      <c r="H1217" s="2890"/>
      <c r="I1217" s="2892" t="s">
        <v>676</v>
      </c>
      <c r="J1217" s="2889"/>
      <c r="K1217" s="2888" t="s">
        <v>676</v>
      </c>
      <c r="L1217" s="2890"/>
      <c r="M1217" s="2271" t="s">
        <v>676</v>
      </c>
      <c r="N1217" s="2271" t="s">
        <v>676</v>
      </c>
      <c r="O1217" s="2271" t="s">
        <v>676</v>
      </c>
      <c r="P1217" s="2272" t="s">
        <v>676</v>
      </c>
      <c r="Q1217" s="2270" t="s">
        <v>2770</v>
      </c>
      <c r="R1217" s="2270">
        <v>0</v>
      </c>
      <c r="S1217" s="2271" t="s">
        <v>676</v>
      </c>
      <c r="T1217" s="2271" t="s">
        <v>676</v>
      </c>
      <c r="U1217" s="2271" t="s">
        <v>676</v>
      </c>
      <c r="V1217" s="2271" t="s">
        <v>676</v>
      </c>
    </row>
    <row r="1218" spans="3:22" ht="45">
      <c r="C1218" s="2265"/>
      <c r="D1218" s="2268">
        <v>5</v>
      </c>
      <c r="E1218" s="2882" t="s">
        <v>3116</v>
      </c>
      <c r="F1218" s="2883"/>
      <c r="G1218" s="2883"/>
      <c r="H1218" s="2884"/>
      <c r="I1218" s="2882" t="s">
        <v>796</v>
      </c>
      <c r="J1218" s="2884"/>
      <c r="K1218" s="2882" t="s">
        <v>2762</v>
      </c>
      <c r="L1218" s="2884"/>
      <c r="M1218" s="2268" t="s">
        <v>2763</v>
      </c>
      <c r="N1218" s="2268" t="s">
        <v>2775</v>
      </c>
      <c r="O1218" s="2268" t="s">
        <v>2776</v>
      </c>
      <c r="P1218" s="2269">
        <v>166666</v>
      </c>
      <c r="Q1218" s="2270" t="s">
        <v>2766</v>
      </c>
      <c r="R1218" s="2270">
        <v>166666</v>
      </c>
      <c r="S1218" s="2268" t="s">
        <v>688</v>
      </c>
      <c r="T1218" s="2268" t="s">
        <v>2919</v>
      </c>
      <c r="U1218" s="2268" t="s">
        <v>2768</v>
      </c>
      <c r="V1218" s="2268"/>
    </row>
    <row r="1219" spans="3:22" ht="15">
      <c r="C1219" s="2265"/>
      <c r="D1219" s="2271" t="s">
        <v>676</v>
      </c>
      <c r="E1219" s="2888" t="s">
        <v>676</v>
      </c>
      <c r="F1219" s="2889"/>
      <c r="G1219" s="2889"/>
      <c r="H1219" s="2890"/>
      <c r="I1219" s="2888" t="s">
        <v>676</v>
      </c>
      <c r="J1219" s="2890"/>
      <c r="K1219" s="2888" t="s">
        <v>676</v>
      </c>
      <c r="L1219" s="2890"/>
      <c r="M1219" s="2271" t="s">
        <v>676</v>
      </c>
      <c r="N1219" s="2271" t="s">
        <v>676</v>
      </c>
      <c r="O1219" s="2271" t="s">
        <v>676</v>
      </c>
      <c r="P1219" s="2272" t="s">
        <v>676</v>
      </c>
      <c r="Q1219" s="2270" t="s">
        <v>2769</v>
      </c>
      <c r="R1219" s="2270">
        <v>0</v>
      </c>
      <c r="S1219" s="2271" t="s">
        <v>676</v>
      </c>
      <c r="T1219" s="2271" t="s">
        <v>676</v>
      </c>
      <c r="U1219" s="2271" t="s">
        <v>676</v>
      </c>
      <c r="V1219" s="2271" t="s">
        <v>676</v>
      </c>
    </row>
    <row r="1220" spans="3:22" ht="15">
      <c r="C1220" s="2265"/>
      <c r="D1220" s="2271" t="s">
        <v>676</v>
      </c>
      <c r="E1220" s="2891" t="s">
        <v>676</v>
      </c>
      <c r="F1220" s="2889"/>
      <c r="G1220" s="2889"/>
      <c r="H1220" s="2890"/>
      <c r="I1220" s="2892" t="s">
        <v>676</v>
      </c>
      <c r="J1220" s="2889"/>
      <c r="K1220" s="2888" t="s">
        <v>676</v>
      </c>
      <c r="L1220" s="2890"/>
      <c r="M1220" s="2271" t="s">
        <v>676</v>
      </c>
      <c r="N1220" s="2271" t="s">
        <v>676</v>
      </c>
      <c r="O1220" s="2271" t="s">
        <v>676</v>
      </c>
      <c r="P1220" s="2272" t="s">
        <v>676</v>
      </c>
      <c r="Q1220" s="2270" t="s">
        <v>2770</v>
      </c>
      <c r="R1220" s="2270">
        <v>0</v>
      </c>
      <c r="S1220" s="2271" t="s">
        <v>676</v>
      </c>
      <c r="T1220" s="2271" t="s">
        <v>676</v>
      </c>
      <c r="U1220" s="2271" t="s">
        <v>676</v>
      </c>
      <c r="V1220" s="2271" t="s">
        <v>676</v>
      </c>
    </row>
    <row r="1221" spans="3:22" ht="45">
      <c r="C1221" s="2265"/>
      <c r="D1221" s="2268">
        <v>6</v>
      </c>
      <c r="E1221" s="2882" t="s">
        <v>172</v>
      </c>
      <c r="F1221" s="2883"/>
      <c r="G1221" s="2883"/>
      <c r="H1221" s="2884"/>
      <c r="I1221" s="2882" t="s">
        <v>3117</v>
      </c>
      <c r="J1221" s="2884"/>
      <c r="K1221" s="2882" t="s">
        <v>2762</v>
      </c>
      <c r="L1221" s="2884"/>
      <c r="M1221" s="2268" t="s">
        <v>2763</v>
      </c>
      <c r="N1221" s="2268" t="s">
        <v>2775</v>
      </c>
      <c r="O1221" s="2268" t="s">
        <v>2765</v>
      </c>
      <c r="P1221" s="2269">
        <v>83333</v>
      </c>
      <c r="Q1221" s="2270" t="s">
        <v>2766</v>
      </c>
      <c r="R1221" s="2270">
        <v>83333</v>
      </c>
      <c r="S1221" s="2268"/>
      <c r="T1221" s="2268" t="s">
        <v>2919</v>
      </c>
      <c r="U1221" s="2268" t="s">
        <v>2768</v>
      </c>
      <c r="V1221" s="2268"/>
    </row>
    <row r="1222" spans="3:22" ht="15">
      <c r="C1222" s="2265"/>
      <c r="D1222" s="2271" t="s">
        <v>676</v>
      </c>
      <c r="E1222" s="2888" t="s">
        <v>676</v>
      </c>
      <c r="F1222" s="2889"/>
      <c r="G1222" s="2889"/>
      <c r="H1222" s="2890"/>
      <c r="I1222" s="2888" t="s">
        <v>676</v>
      </c>
      <c r="J1222" s="2890"/>
      <c r="K1222" s="2888" t="s">
        <v>676</v>
      </c>
      <c r="L1222" s="2890"/>
      <c r="M1222" s="2271" t="s">
        <v>676</v>
      </c>
      <c r="N1222" s="2271" t="s">
        <v>676</v>
      </c>
      <c r="O1222" s="2271" t="s">
        <v>676</v>
      </c>
      <c r="P1222" s="2272" t="s">
        <v>676</v>
      </c>
      <c r="Q1222" s="2270" t="s">
        <v>2769</v>
      </c>
      <c r="R1222" s="2270">
        <v>0</v>
      </c>
      <c r="S1222" s="2271" t="s">
        <v>676</v>
      </c>
      <c r="T1222" s="2271" t="s">
        <v>676</v>
      </c>
      <c r="U1222" s="2271" t="s">
        <v>676</v>
      </c>
      <c r="V1222" s="2271" t="s">
        <v>676</v>
      </c>
    </row>
    <row r="1223" spans="3:22" ht="15">
      <c r="C1223" s="2265"/>
      <c r="D1223" s="2271" t="s">
        <v>676</v>
      </c>
      <c r="E1223" s="2891" t="s">
        <v>676</v>
      </c>
      <c r="F1223" s="2889"/>
      <c r="G1223" s="2889"/>
      <c r="H1223" s="2890"/>
      <c r="I1223" s="2892" t="s">
        <v>676</v>
      </c>
      <c r="J1223" s="2889"/>
      <c r="K1223" s="2888" t="s">
        <v>676</v>
      </c>
      <c r="L1223" s="2890"/>
      <c r="M1223" s="2271" t="s">
        <v>676</v>
      </c>
      <c r="N1223" s="2271" t="s">
        <v>676</v>
      </c>
      <c r="O1223" s="2271" t="s">
        <v>676</v>
      </c>
      <c r="P1223" s="2272" t="s">
        <v>676</v>
      </c>
      <c r="Q1223" s="2270" t="s">
        <v>2770</v>
      </c>
      <c r="R1223" s="2270">
        <v>0</v>
      </c>
      <c r="S1223" s="2271" t="s">
        <v>676</v>
      </c>
      <c r="T1223" s="2271" t="s">
        <v>676</v>
      </c>
      <c r="U1223" s="2271" t="s">
        <v>676</v>
      </c>
      <c r="V1223" s="2271" t="s">
        <v>676</v>
      </c>
    </row>
    <row r="1224" spans="3:22" ht="45">
      <c r="C1224" s="2265"/>
      <c r="D1224" s="2268">
        <v>7</v>
      </c>
      <c r="E1224" s="2882" t="s">
        <v>833</v>
      </c>
      <c r="F1224" s="2883"/>
      <c r="G1224" s="2883"/>
      <c r="H1224" s="2884"/>
      <c r="I1224" s="2882" t="s">
        <v>1556</v>
      </c>
      <c r="J1224" s="2884"/>
      <c r="K1224" s="2882" t="s">
        <v>2762</v>
      </c>
      <c r="L1224" s="2884"/>
      <c r="M1224" s="2268" t="s">
        <v>2763</v>
      </c>
      <c r="N1224" s="2268" t="s">
        <v>2775</v>
      </c>
      <c r="O1224" s="2268" t="s">
        <v>2765</v>
      </c>
      <c r="P1224" s="2269">
        <v>83333</v>
      </c>
      <c r="Q1224" s="2270" t="s">
        <v>2766</v>
      </c>
      <c r="R1224" s="2270">
        <v>83333</v>
      </c>
      <c r="S1224" s="2268"/>
      <c r="T1224" s="2268" t="s">
        <v>2919</v>
      </c>
      <c r="U1224" s="2268" t="s">
        <v>2768</v>
      </c>
      <c r="V1224" s="2268"/>
    </row>
    <row r="1225" spans="3:22" ht="15">
      <c r="C1225" s="2265"/>
      <c r="D1225" s="2271" t="s">
        <v>676</v>
      </c>
      <c r="E1225" s="2888" t="s">
        <v>676</v>
      </c>
      <c r="F1225" s="2889"/>
      <c r="G1225" s="2889"/>
      <c r="H1225" s="2890"/>
      <c r="I1225" s="2888" t="s">
        <v>676</v>
      </c>
      <c r="J1225" s="2890"/>
      <c r="K1225" s="2888" t="s">
        <v>676</v>
      </c>
      <c r="L1225" s="2890"/>
      <c r="M1225" s="2271" t="s">
        <v>676</v>
      </c>
      <c r="N1225" s="2271" t="s">
        <v>676</v>
      </c>
      <c r="O1225" s="2271" t="s">
        <v>676</v>
      </c>
      <c r="P1225" s="2272" t="s">
        <v>676</v>
      </c>
      <c r="Q1225" s="2270" t="s">
        <v>2769</v>
      </c>
      <c r="R1225" s="2270">
        <v>0</v>
      </c>
      <c r="S1225" s="2271" t="s">
        <v>676</v>
      </c>
      <c r="T1225" s="2271" t="s">
        <v>676</v>
      </c>
      <c r="U1225" s="2271" t="s">
        <v>676</v>
      </c>
      <c r="V1225" s="2271" t="s">
        <v>676</v>
      </c>
    </row>
    <row r="1226" spans="3:22" ht="15">
      <c r="C1226" s="2265"/>
      <c r="D1226" s="2271" t="s">
        <v>676</v>
      </c>
      <c r="E1226" s="2891" t="s">
        <v>676</v>
      </c>
      <c r="F1226" s="2889"/>
      <c r="G1226" s="2889"/>
      <c r="H1226" s="2890"/>
      <c r="I1226" s="2892" t="s">
        <v>676</v>
      </c>
      <c r="J1226" s="2889"/>
      <c r="K1226" s="2888" t="s">
        <v>676</v>
      </c>
      <c r="L1226" s="2890"/>
      <c r="M1226" s="2271" t="s">
        <v>676</v>
      </c>
      <c r="N1226" s="2271" t="s">
        <v>676</v>
      </c>
      <c r="O1226" s="2271" t="s">
        <v>676</v>
      </c>
      <c r="P1226" s="2272" t="s">
        <v>676</v>
      </c>
      <c r="Q1226" s="2270" t="s">
        <v>2770</v>
      </c>
      <c r="R1226" s="2270">
        <v>0</v>
      </c>
      <c r="S1226" s="2271" t="s">
        <v>676</v>
      </c>
      <c r="T1226" s="2271" t="s">
        <v>676</v>
      </c>
      <c r="U1226" s="2271" t="s">
        <v>676</v>
      </c>
      <c r="V1226" s="2271" t="s">
        <v>676</v>
      </c>
    </row>
    <row r="1227" spans="3:22" ht="45">
      <c r="C1227" s="2265"/>
      <c r="D1227" s="2268">
        <v>8</v>
      </c>
      <c r="E1227" s="2882" t="s">
        <v>3118</v>
      </c>
      <c r="F1227" s="2883"/>
      <c r="G1227" s="2883"/>
      <c r="H1227" s="2884"/>
      <c r="I1227" s="2882" t="s">
        <v>1183</v>
      </c>
      <c r="J1227" s="2884"/>
      <c r="K1227" s="2882" t="s">
        <v>2762</v>
      </c>
      <c r="L1227" s="2884"/>
      <c r="M1227" s="2268" t="s">
        <v>2763</v>
      </c>
      <c r="N1227" s="2268" t="s">
        <v>2775</v>
      </c>
      <c r="O1227" s="2268" t="s">
        <v>2776</v>
      </c>
      <c r="P1227" s="2269">
        <v>4166666</v>
      </c>
      <c r="Q1227" s="2270" t="s">
        <v>2766</v>
      </c>
      <c r="R1227" s="2270">
        <v>4166666</v>
      </c>
      <c r="S1227" s="2268" t="s">
        <v>892</v>
      </c>
      <c r="T1227" s="2268" t="s">
        <v>2799</v>
      </c>
      <c r="U1227" s="2268" t="s">
        <v>2768</v>
      </c>
      <c r="V1227" s="2268"/>
    </row>
    <row r="1228" spans="3:22" ht="15">
      <c r="C1228" s="2265"/>
      <c r="D1228" s="2271" t="s">
        <v>676</v>
      </c>
      <c r="E1228" s="2888" t="s">
        <v>676</v>
      </c>
      <c r="F1228" s="2889"/>
      <c r="G1228" s="2889"/>
      <c r="H1228" s="2890"/>
      <c r="I1228" s="2888" t="s">
        <v>676</v>
      </c>
      <c r="J1228" s="2890"/>
      <c r="K1228" s="2888" t="s">
        <v>676</v>
      </c>
      <c r="L1228" s="2890"/>
      <c r="M1228" s="2271" t="s">
        <v>676</v>
      </c>
      <c r="N1228" s="2271" t="s">
        <v>676</v>
      </c>
      <c r="O1228" s="2271" t="s">
        <v>676</v>
      </c>
      <c r="P1228" s="2272" t="s">
        <v>676</v>
      </c>
      <c r="Q1228" s="2270" t="s">
        <v>2769</v>
      </c>
      <c r="R1228" s="2270">
        <v>0</v>
      </c>
      <c r="S1228" s="2271" t="s">
        <v>676</v>
      </c>
      <c r="T1228" s="2271" t="s">
        <v>676</v>
      </c>
      <c r="U1228" s="2271" t="s">
        <v>676</v>
      </c>
      <c r="V1228" s="2271" t="s">
        <v>676</v>
      </c>
    </row>
    <row r="1229" spans="3:22" ht="15">
      <c r="C1229" s="2265"/>
      <c r="D1229" s="2271" t="s">
        <v>676</v>
      </c>
      <c r="E1229" s="2891" t="s">
        <v>676</v>
      </c>
      <c r="F1229" s="2889"/>
      <c r="G1229" s="2889"/>
      <c r="H1229" s="2890"/>
      <c r="I1229" s="2892" t="s">
        <v>676</v>
      </c>
      <c r="J1229" s="2889"/>
      <c r="K1229" s="2888" t="s">
        <v>676</v>
      </c>
      <c r="L1229" s="2890"/>
      <c r="M1229" s="2271" t="s">
        <v>676</v>
      </c>
      <c r="N1229" s="2271" t="s">
        <v>676</v>
      </c>
      <c r="O1229" s="2271" t="s">
        <v>676</v>
      </c>
      <c r="P1229" s="2272" t="s">
        <v>676</v>
      </c>
      <c r="Q1229" s="2270" t="s">
        <v>2770</v>
      </c>
      <c r="R1229" s="2270">
        <v>0</v>
      </c>
      <c r="S1229" s="2271" t="s">
        <v>676</v>
      </c>
      <c r="T1229" s="2271" t="s">
        <v>676</v>
      </c>
      <c r="U1229" s="2271" t="s">
        <v>676</v>
      </c>
      <c r="V1229" s="2271" t="s">
        <v>676</v>
      </c>
    </row>
    <row r="1230" spans="3:22" ht="75">
      <c r="C1230" s="2412"/>
      <c r="D1230" s="2416"/>
      <c r="E1230" s="2417" t="s">
        <v>82</v>
      </c>
      <c r="F1230" s="2371"/>
      <c r="G1230" s="2418"/>
      <c r="H1230" s="2374"/>
      <c r="I1230" s="2373"/>
      <c r="J1230" s="2374"/>
      <c r="K1230" s="2372"/>
      <c r="L1230" s="2375"/>
      <c r="M1230" s="2375"/>
      <c r="N1230" s="2375"/>
      <c r="O1230" s="2375"/>
      <c r="P1230" s="2374">
        <f>SUM(P1206:P1229)</f>
        <v>4849997</v>
      </c>
      <c r="Q1230" s="2374"/>
      <c r="R1230" s="2374">
        <f>SUM(R1206:R1229)</f>
        <v>4849997</v>
      </c>
      <c r="S1230" s="2375"/>
      <c r="T1230" s="2375"/>
      <c r="U1230" s="2375"/>
      <c r="V1230" s="2411"/>
    </row>
    <row r="1231" spans="3:22" ht="20.25">
      <c r="C1231" s="2412"/>
      <c r="D1231" s="2419"/>
      <c r="E1231" s="2420"/>
      <c r="F1231" s="2421"/>
      <c r="G1231" s="2383"/>
      <c r="H1231" s="2381"/>
      <c r="I1231" s="2422"/>
      <c r="J1231" s="2381"/>
      <c r="K1231" s="2419"/>
      <c r="L1231" s="2412"/>
      <c r="M1231" s="2412"/>
      <c r="N1231" s="2412"/>
      <c r="O1231" s="2412"/>
      <c r="P1231" s="2381"/>
      <c r="Q1231" s="2284" t="s">
        <v>2789</v>
      </c>
      <c r="R1231" s="2381"/>
      <c r="S1231" s="2412"/>
      <c r="T1231" s="2412"/>
      <c r="U1231" s="2412"/>
      <c r="V1231" s="2412"/>
    </row>
    <row r="1232" spans="3:22" ht="20.25">
      <c r="C1232" s="2412"/>
      <c r="D1232" s="2419"/>
      <c r="E1232" s="2420"/>
      <c r="F1232" s="2421"/>
      <c r="G1232" s="2383"/>
      <c r="H1232" s="2381"/>
      <c r="I1232" s="2422"/>
      <c r="J1232" s="2381"/>
      <c r="K1232" s="2419"/>
      <c r="L1232" s="2412"/>
      <c r="M1232" s="2412"/>
      <c r="N1232" s="2412"/>
      <c r="O1232" s="2412"/>
      <c r="P1232" s="2381"/>
      <c r="Q1232" s="2284" t="s">
        <v>2790</v>
      </c>
      <c r="R1232" s="2381"/>
      <c r="S1232" s="2412"/>
      <c r="T1232" s="2412"/>
      <c r="U1232" s="2412"/>
      <c r="V1232" s="2412"/>
    </row>
    <row r="1233" spans="4:23" ht="20.25">
      <c r="D1233" s="2911" t="s">
        <v>2749</v>
      </c>
      <c r="E1233" s="2911"/>
      <c r="F1233" s="2911"/>
      <c r="G1233" s="2911"/>
      <c r="H1233" s="2911"/>
      <c r="I1233" s="2911"/>
      <c r="J1233" s="2911"/>
      <c r="K1233" s="1586"/>
      <c r="L1233" s="1586"/>
      <c r="M1233" s="1586"/>
      <c r="N1233" s="1586"/>
      <c r="O1233" s="1586"/>
      <c r="P1233" s="1586"/>
      <c r="Q1233" s="2314"/>
      <c r="R1233" s="2314"/>
      <c r="S1233" s="2314"/>
      <c r="T1233" s="1586"/>
      <c r="U1233" s="1586"/>
      <c r="V1233" s="1586"/>
      <c r="W1233" s="1586"/>
    </row>
    <row r="1234" spans="4:23" ht="15">
      <c r="D1234" s="1586"/>
      <c r="E1234" s="1586"/>
      <c r="F1234" s="1586"/>
      <c r="G1234" s="1586"/>
      <c r="H1234" s="1586"/>
      <c r="I1234" s="1586"/>
      <c r="J1234" s="1586"/>
      <c r="K1234" s="1586"/>
      <c r="L1234" s="1586"/>
      <c r="M1234" s="1586"/>
      <c r="N1234" s="1586"/>
      <c r="O1234" s="1586"/>
      <c r="P1234" s="1586"/>
      <c r="Q1234" s="2314"/>
      <c r="R1234" s="2314"/>
      <c r="S1234" s="2314"/>
      <c r="T1234" s="1586"/>
      <c r="U1234" s="1586"/>
      <c r="V1234" s="1586"/>
      <c r="W1234" s="1586"/>
    </row>
    <row r="1235" spans="4:23" ht="15">
      <c r="D1235" s="2912" t="s">
        <v>653</v>
      </c>
      <c r="E1235" s="2914"/>
      <c r="F1235" s="2914"/>
      <c r="G1235" s="1586"/>
      <c r="H1235" s="2315">
        <v>2020</v>
      </c>
      <c r="I1235" s="1586"/>
      <c r="J1235" s="1586"/>
      <c r="K1235" s="1586"/>
      <c r="L1235" s="1586"/>
      <c r="M1235" s="1586"/>
      <c r="N1235" s="1586"/>
      <c r="O1235" s="1586"/>
      <c r="P1235" s="1586"/>
      <c r="Q1235" s="2314"/>
      <c r="R1235" s="2314"/>
      <c r="S1235" s="2314"/>
      <c r="T1235" s="1586"/>
      <c r="U1235" s="1586"/>
      <c r="V1235" s="1586"/>
      <c r="W1235" s="1586"/>
    </row>
    <row r="1236" spans="4:23" ht="15">
      <c r="D1236" s="1586"/>
      <c r="E1236" s="1586"/>
      <c r="F1236" s="1586"/>
      <c r="G1236" s="1586"/>
      <c r="H1236" s="1586"/>
      <c r="I1236" s="1586"/>
      <c r="J1236" s="1586"/>
      <c r="K1236" s="1586"/>
      <c r="L1236" s="1586"/>
      <c r="M1236" s="1586"/>
      <c r="N1236" s="1586"/>
      <c r="O1236" s="1586"/>
      <c r="P1236" s="1586"/>
      <c r="Q1236" s="2314"/>
      <c r="R1236" s="2314"/>
      <c r="S1236" s="2314"/>
      <c r="T1236" s="1586"/>
      <c r="U1236" s="1586"/>
      <c r="V1236" s="1586"/>
      <c r="W1236" s="1586"/>
    </row>
    <row r="1237" spans="4:23" ht="15">
      <c r="D1237" s="2912" t="s">
        <v>655</v>
      </c>
      <c r="E1237" s="2914"/>
      <c r="F1237" s="2914"/>
      <c r="G1237" s="1586"/>
      <c r="H1237" s="2913" t="s">
        <v>27</v>
      </c>
      <c r="I1237" s="2914"/>
      <c r="J1237" s="2914"/>
      <c r="K1237" s="2914"/>
      <c r="L1237" s="2914"/>
      <c r="M1237" s="1586"/>
      <c r="N1237" s="1586"/>
      <c r="O1237" s="1586"/>
      <c r="P1237" s="1586"/>
      <c r="Q1237" s="2314"/>
      <c r="R1237" s="2314"/>
      <c r="S1237" s="2314"/>
      <c r="T1237" s="1586"/>
      <c r="U1237" s="1586"/>
      <c r="V1237" s="1586"/>
      <c r="W1237" s="1586"/>
    </row>
    <row r="1238" spans="4:23" ht="15">
      <c r="D1238" s="1586"/>
      <c r="E1238" s="1586"/>
      <c r="F1238" s="1586"/>
      <c r="G1238" s="1586"/>
      <c r="H1238" s="1586"/>
      <c r="I1238" s="1586"/>
      <c r="J1238" s="1586"/>
      <c r="K1238" s="1586"/>
      <c r="L1238" s="1586"/>
      <c r="M1238" s="1586"/>
      <c r="N1238" s="1586"/>
      <c r="O1238" s="1586"/>
      <c r="P1238" s="1586"/>
      <c r="Q1238" s="2314"/>
      <c r="R1238" s="2314"/>
      <c r="S1238" s="2314"/>
      <c r="T1238" s="1586"/>
      <c r="U1238" s="1586"/>
      <c r="V1238" s="1586"/>
      <c r="W1238" s="1586"/>
    </row>
    <row r="1239" spans="4:23" ht="78.75">
      <c r="D1239" s="2316"/>
      <c r="E1239" s="2266" t="s">
        <v>657</v>
      </c>
      <c r="F1239" s="2893" t="s">
        <v>587</v>
      </c>
      <c r="G1239" s="2909"/>
      <c r="H1239" s="2909"/>
      <c r="I1239" s="2910"/>
      <c r="J1239" s="2893" t="s">
        <v>2751</v>
      </c>
      <c r="K1239" s="2910"/>
      <c r="L1239" s="2893" t="s">
        <v>2752</v>
      </c>
      <c r="M1239" s="2910"/>
      <c r="N1239" s="2266" t="s">
        <v>2753</v>
      </c>
      <c r="O1239" s="2266" t="s">
        <v>2754</v>
      </c>
      <c r="P1239" s="2266" t="s">
        <v>2755</v>
      </c>
      <c r="Q1239" s="2267" t="s">
        <v>2756</v>
      </c>
      <c r="R1239" s="2267" t="s">
        <v>2757</v>
      </c>
      <c r="S1239" s="2267" t="s">
        <v>2758</v>
      </c>
      <c r="T1239" s="2266" t="s">
        <v>623</v>
      </c>
      <c r="U1239" s="2266" t="s">
        <v>2759</v>
      </c>
      <c r="V1239" s="2266" t="s">
        <v>2760</v>
      </c>
      <c r="W1239" s="2266" t="s">
        <v>2761</v>
      </c>
    </row>
    <row r="1240" spans="4:23" ht="45">
      <c r="D1240" s="2316"/>
      <c r="E1240" s="2268">
        <v>1</v>
      </c>
      <c r="F1240" s="2882" t="s">
        <v>3119</v>
      </c>
      <c r="G1240" s="2905"/>
      <c r="H1240" s="2905"/>
      <c r="I1240" s="2906"/>
      <c r="J1240" s="2882" t="s">
        <v>3120</v>
      </c>
      <c r="K1240" s="2906"/>
      <c r="L1240" s="2882" t="s">
        <v>2762</v>
      </c>
      <c r="M1240" s="2906"/>
      <c r="N1240" s="2268" t="s">
        <v>2763</v>
      </c>
      <c r="O1240" s="2268" t="s">
        <v>2764</v>
      </c>
      <c r="P1240" s="2268" t="s">
        <v>2765</v>
      </c>
      <c r="Q1240" s="2269">
        <v>100000</v>
      </c>
      <c r="R1240" s="2270" t="s">
        <v>2766</v>
      </c>
      <c r="S1240" s="2270">
        <v>100000</v>
      </c>
      <c r="T1240" s="2268"/>
      <c r="U1240" s="2268" t="s">
        <v>2767</v>
      </c>
      <c r="V1240" s="2268" t="s">
        <v>2768</v>
      </c>
      <c r="W1240" s="2268"/>
    </row>
    <row r="1241" spans="4:23" ht="30">
      <c r="D1241" s="2316"/>
      <c r="E1241" s="2271" t="s">
        <v>676</v>
      </c>
      <c r="F1241" s="2888" t="s">
        <v>676</v>
      </c>
      <c r="G1241" s="2907"/>
      <c r="H1241" s="2907"/>
      <c r="I1241" s="2908"/>
      <c r="J1241" s="2888" t="s">
        <v>676</v>
      </c>
      <c r="K1241" s="2908"/>
      <c r="L1241" s="2888" t="s">
        <v>676</v>
      </c>
      <c r="M1241" s="2908"/>
      <c r="N1241" s="2271" t="s">
        <v>676</v>
      </c>
      <c r="O1241" s="2271" t="s">
        <v>676</v>
      </c>
      <c r="P1241" s="2271" t="s">
        <v>676</v>
      </c>
      <c r="Q1241" s="2272" t="s">
        <v>676</v>
      </c>
      <c r="R1241" s="2270" t="s">
        <v>2769</v>
      </c>
      <c r="S1241" s="2270">
        <v>0</v>
      </c>
      <c r="T1241" s="2271" t="s">
        <v>676</v>
      </c>
      <c r="U1241" s="2271" t="s">
        <v>676</v>
      </c>
      <c r="V1241" s="2271" t="s">
        <v>676</v>
      </c>
      <c r="W1241" s="2271" t="s">
        <v>676</v>
      </c>
    </row>
    <row r="1242" spans="4:23" ht="30">
      <c r="D1242" s="2316"/>
      <c r="E1242" s="2271" t="s">
        <v>676</v>
      </c>
      <c r="F1242" s="2891" t="s">
        <v>676</v>
      </c>
      <c r="G1242" s="2907"/>
      <c r="H1242" s="2907"/>
      <c r="I1242" s="2908"/>
      <c r="J1242" s="2892" t="s">
        <v>676</v>
      </c>
      <c r="K1242" s="2907"/>
      <c r="L1242" s="2888" t="s">
        <v>676</v>
      </c>
      <c r="M1242" s="2908"/>
      <c r="N1242" s="2271" t="s">
        <v>676</v>
      </c>
      <c r="O1242" s="2271" t="s">
        <v>676</v>
      </c>
      <c r="P1242" s="2271" t="s">
        <v>676</v>
      </c>
      <c r="Q1242" s="2272" t="s">
        <v>676</v>
      </c>
      <c r="R1242" s="2270" t="s">
        <v>2770</v>
      </c>
      <c r="S1242" s="2270">
        <v>0</v>
      </c>
      <c r="T1242" s="2271" t="s">
        <v>676</v>
      </c>
      <c r="U1242" s="2271" t="s">
        <v>676</v>
      </c>
      <c r="V1242" s="2271" t="s">
        <v>676</v>
      </c>
      <c r="W1242" s="2271" t="s">
        <v>676</v>
      </c>
    </row>
    <row r="1243" spans="4:23" ht="45">
      <c r="D1243" s="2316"/>
      <c r="E1243" s="2268">
        <v>2</v>
      </c>
      <c r="F1243" s="2882" t="s">
        <v>3121</v>
      </c>
      <c r="G1243" s="2905"/>
      <c r="H1243" s="2905"/>
      <c r="I1243" s="2906"/>
      <c r="J1243" s="2882" t="s">
        <v>1826</v>
      </c>
      <c r="K1243" s="2906"/>
      <c r="L1243" s="2882" t="s">
        <v>2762</v>
      </c>
      <c r="M1243" s="2906"/>
      <c r="N1243" s="2268" t="s">
        <v>2763</v>
      </c>
      <c r="O1243" s="2268" t="s">
        <v>2764</v>
      </c>
      <c r="P1243" s="2268" t="s">
        <v>2776</v>
      </c>
      <c r="Q1243" s="2269">
        <v>800000</v>
      </c>
      <c r="R1243" s="2270" t="s">
        <v>2766</v>
      </c>
      <c r="S1243" s="2270">
        <v>800000</v>
      </c>
      <c r="T1243" s="2268" t="s">
        <v>688</v>
      </c>
      <c r="U1243" s="2268" t="s">
        <v>2767</v>
      </c>
      <c r="V1243" s="2268" t="s">
        <v>2768</v>
      </c>
      <c r="W1243" s="2268"/>
    </row>
    <row r="1244" spans="4:23" ht="30">
      <c r="D1244" s="2316"/>
      <c r="E1244" s="2271" t="s">
        <v>676</v>
      </c>
      <c r="F1244" s="2888" t="s">
        <v>676</v>
      </c>
      <c r="G1244" s="2907"/>
      <c r="H1244" s="2907"/>
      <c r="I1244" s="2908"/>
      <c r="J1244" s="2888" t="s">
        <v>676</v>
      </c>
      <c r="K1244" s="2908"/>
      <c r="L1244" s="2888" t="s">
        <v>676</v>
      </c>
      <c r="M1244" s="2908"/>
      <c r="N1244" s="2271" t="s">
        <v>676</v>
      </c>
      <c r="O1244" s="2271" t="s">
        <v>676</v>
      </c>
      <c r="P1244" s="2271" t="s">
        <v>676</v>
      </c>
      <c r="Q1244" s="2272" t="s">
        <v>676</v>
      </c>
      <c r="R1244" s="2270" t="s">
        <v>2769</v>
      </c>
      <c r="S1244" s="2270">
        <v>0</v>
      </c>
      <c r="T1244" s="2271" t="s">
        <v>676</v>
      </c>
      <c r="U1244" s="2271" t="s">
        <v>676</v>
      </c>
      <c r="V1244" s="2271" t="s">
        <v>676</v>
      </c>
      <c r="W1244" s="2271" t="s">
        <v>676</v>
      </c>
    </row>
    <row r="1245" spans="4:23" ht="30">
      <c r="D1245" s="2316"/>
      <c r="E1245" s="2271" t="s">
        <v>676</v>
      </c>
      <c r="F1245" s="2891" t="s">
        <v>676</v>
      </c>
      <c r="G1245" s="2907"/>
      <c r="H1245" s="2907"/>
      <c r="I1245" s="2908"/>
      <c r="J1245" s="2892" t="s">
        <v>676</v>
      </c>
      <c r="K1245" s="2907"/>
      <c r="L1245" s="2888" t="s">
        <v>676</v>
      </c>
      <c r="M1245" s="2908"/>
      <c r="N1245" s="2271" t="s">
        <v>676</v>
      </c>
      <c r="O1245" s="2271" t="s">
        <v>676</v>
      </c>
      <c r="P1245" s="2271" t="s">
        <v>676</v>
      </c>
      <c r="Q1245" s="2272" t="s">
        <v>676</v>
      </c>
      <c r="R1245" s="2270" t="s">
        <v>2770</v>
      </c>
      <c r="S1245" s="2270">
        <v>0</v>
      </c>
      <c r="T1245" s="2271" t="s">
        <v>676</v>
      </c>
      <c r="U1245" s="2271" t="s">
        <v>676</v>
      </c>
      <c r="V1245" s="2271" t="s">
        <v>676</v>
      </c>
      <c r="W1245" s="2271" t="s">
        <v>676</v>
      </c>
    </row>
    <row r="1246" spans="4:23" ht="45">
      <c r="D1246" s="2316"/>
      <c r="E1246" s="2268">
        <v>3</v>
      </c>
      <c r="F1246" s="2882" t="s">
        <v>2086</v>
      </c>
      <c r="G1246" s="2905"/>
      <c r="H1246" s="2905"/>
      <c r="I1246" s="2906"/>
      <c r="J1246" s="2882" t="s">
        <v>1898</v>
      </c>
      <c r="K1246" s="2906"/>
      <c r="L1246" s="2882" t="s">
        <v>2762</v>
      </c>
      <c r="M1246" s="2906"/>
      <c r="N1246" s="2268" t="s">
        <v>2763</v>
      </c>
      <c r="O1246" s="2268" t="s">
        <v>2775</v>
      </c>
      <c r="P1246" s="2268" t="s">
        <v>2776</v>
      </c>
      <c r="Q1246" s="2269">
        <v>500000</v>
      </c>
      <c r="R1246" s="2270" t="s">
        <v>2766</v>
      </c>
      <c r="S1246" s="2270">
        <v>500000</v>
      </c>
      <c r="T1246" s="2268" t="s">
        <v>688</v>
      </c>
      <c r="U1246" s="2268" t="s">
        <v>2767</v>
      </c>
      <c r="V1246" s="2268" t="s">
        <v>2768</v>
      </c>
      <c r="W1246" s="2268"/>
    </row>
    <row r="1247" spans="4:23" ht="30">
      <c r="D1247" s="2316"/>
      <c r="E1247" s="2271" t="s">
        <v>676</v>
      </c>
      <c r="F1247" s="2888" t="s">
        <v>676</v>
      </c>
      <c r="G1247" s="2907"/>
      <c r="H1247" s="2907"/>
      <c r="I1247" s="2908"/>
      <c r="J1247" s="2888" t="s">
        <v>676</v>
      </c>
      <c r="K1247" s="2908"/>
      <c r="L1247" s="2888" t="s">
        <v>676</v>
      </c>
      <c r="M1247" s="2908"/>
      <c r="N1247" s="2271" t="s">
        <v>676</v>
      </c>
      <c r="O1247" s="2271" t="s">
        <v>676</v>
      </c>
      <c r="P1247" s="2271" t="s">
        <v>676</v>
      </c>
      <c r="Q1247" s="2272" t="s">
        <v>676</v>
      </c>
      <c r="R1247" s="2270" t="s">
        <v>2769</v>
      </c>
      <c r="S1247" s="2270">
        <v>0</v>
      </c>
      <c r="T1247" s="2271" t="s">
        <v>676</v>
      </c>
      <c r="U1247" s="2271" t="s">
        <v>676</v>
      </c>
      <c r="V1247" s="2271" t="s">
        <v>676</v>
      </c>
      <c r="W1247" s="2271" t="s">
        <v>676</v>
      </c>
    </row>
    <row r="1248" spans="4:23" ht="30">
      <c r="D1248" s="2316"/>
      <c r="E1248" s="2271" t="s">
        <v>676</v>
      </c>
      <c r="F1248" s="2891" t="s">
        <v>676</v>
      </c>
      <c r="G1248" s="2907"/>
      <c r="H1248" s="2907"/>
      <c r="I1248" s="2908"/>
      <c r="J1248" s="2892" t="s">
        <v>676</v>
      </c>
      <c r="K1248" s="2907"/>
      <c r="L1248" s="2888" t="s">
        <v>676</v>
      </c>
      <c r="M1248" s="2908"/>
      <c r="N1248" s="2271" t="s">
        <v>676</v>
      </c>
      <c r="O1248" s="2271" t="s">
        <v>676</v>
      </c>
      <c r="P1248" s="2271" t="s">
        <v>676</v>
      </c>
      <c r="Q1248" s="2272" t="s">
        <v>676</v>
      </c>
      <c r="R1248" s="2270" t="s">
        <v>2770</v>
      </c>
      <c r="S1248" s="2270">
        <v>0</v>
      </c>
      <c r="T1248" s="2271" t="s">
        <v>676</v>
      </c>
      <c r="U1248" s="2271" t="s">
        <v>676</v>
      </c>
      <c r="V1248" s="2271" t="s">
        <v>676</v>
      </c>
      <c r="W1248" s="2271" t="s">
        <v>676</v>
      </c>
    </row>
    <row r="1249" spans="4:23" ht="45">
      <c r="D1249" s="2316"/>
      <c r="E1249" s="2268">
        <v>4</v>
      </c>
      <c r="F1249" s="2882" t="s">
        <v>3122</v>
      </c>
      <c r="G1249" s="2905"/>
      <c r="H1249" s="2905"/>
      <c r="I1249" s="2906"/>
      <c r="J1249" s="2882" t="s">
        <v>2136</v>
      </c>
      <c r="K1249" s="2906"/>
      <c r="L1249" s="2882" t="s">
        <v>2762</v>
      </c>
      <c r="M1249" s="2906"/>
      <c r="N1249" s="2268" t="s">
        <v>2763</v>
      </c>
      <c r="O1249" s="2268" t="s">
        <v>2764</v>
      </c>
      <c r="P1249" s="2268" t="s">
        <v>2776</v>
      </c>
      <c r="Q1249" s="2269">
        <v>500000</v>
      </c>
      <c r="R1249" s="2270" t="s">
        <v>2766</v>
      </c>
      <c r="S1249" s="2270">
        <v>500000</v>
      </c>
      <c r="T1249" s="2268" t="s">
        <v>688</v>
      </c>
      <c r="U1249" s="2268" t="s">
        <v>2767</v>
      </c>
      <c r="V1249" s="2268" t="s">
        <v>2768</v>
      </c>
      <c r="W1249" s="2268"/>
    </row>
    <row r="1250" spans="4:23" ht="30">
      <c r="D1250" s="2316"/>
      <c r="E1250" s="2271" t="s">
        <v>676</v>
      </c>
      <c r="F1250" s="2888" t="s">
        <v>676</v>
      </c>
      <c r="G1250" s="2907"/>
      <c r="H1250" s="2907"/>
      <c r="I1250" s="2908"/>
      <c r="J1250" s="2888" t="s">
        <v>676</v>
      </c>
      <c r="K1250" s="2908"/>
      <c r="L1250" s="2888" t="s">
        <v>676</v>
      </c>
      <c r="M1250" s="2908"/>
      <c r="N1250" s="2271" t="s">
        <v>676</v>
      </c>
      <c r="O1250" s="2271" t="s">
        <v>676</v>
      </c>
      <c r="P1250" s="2271" t="s">
        <v>676</v>
      </c>
      <c r="Q1250" s="2272" t="s">
        <v>676</v>
      </c>
      <c r="R1250" s="2270" t="s">
        <v>2769</v>
      </c>
      <c r="S1250" s="2270">
        <v>0</v>
      </c>
      <c r="T1250" s="2271" t="s">
        <v>676</v>
      </c>
      <c r="U1250" s="2271" t="s">
        <v>676</v>
      </c>
      <c r="V1250" s="2271" t="s">
        <v>676</v>
      </c>
      <c r="W1250" s="2271" t="s">
        <v>676</v>
      </c>
    </row>
    <row r="1251" spans="4:23" ht="30">
      <c r="D1251" s="2316"/>
      <c r="E1251" s="2271" t="s">
        <v>676</v>
      </c>
      <c r="F1251" s="2891" t="s">
        <v>676</v>
      </c>
      <c r="G1251" s="2907"/>
      <c r="H1251" s="2907"/>
      <c r="I1251" s="2908"/>
      <c r="J1251" s="2892" t="s">
        <v>676</v>
      </c>
      <c r="K1251" s="2907"/>
      <c r="L1251" s="2888" t="s">
        <v>676</v>
      </c>
      <c r="M1251" s="2908"/>
      <c r="N1251" s="2271" t="s">
        <v>676</v>
      </c>
      <c r="O1251" s="2271" t="s">
        <v>676</v>
      </c>
      <c r="P1251" s="2271" t="s">
        <v>676</v>
      </c>
      <c r="Q1251" s="2272" t="s">
        <v>676</v>
      </c>
      <c r="R1251" s="2270" t="s">
        <v>2770</v>
      </c>
      <c r="S1251" s="2270">
        <v>0</v>
      </c>
      <c r="T1251" s="2271" t="s">
        <v>676</v>
      </c>
      <c r="U1251" s="2271" t="s">
        <v>676</v>
      </c>
      <c r="V1251" s="2271" t="s">
        <v>676</v>
      </c>
      <c r="W1251" s="2271" t="s">
        <v>676</v>
      </c>
    </row>
    <row r="1252" spans="4:23" ht="45">
      <c r="D1252" s="2316"/>
      <c r="E1252" s="2268">
        <v>5</v>
      </c>
      <c r="F1252" s="2882" t="s">
        <v>3123</v>
      </c>
      <c r="G1252" s="2905"/>
      <c r="H1252" s="2905"/>
      <c r="I1252" s="2906"/>
      <c r="J1252" s="2882" t="s">
        <v>3124</v>
      </c>
      <c r="K1252" s="2906"/>
      <c r="L1252" s="2882" t="s">
        <v>2762</v>
      </c>
      <c r="M1252" s="2906"/>
      <c r="N1252" s="2268" t="s">
        <v>2763</v>
      </c>
      <c r="O1252" s="2268" t="s">
        <v>2764</v>
      </c>
      <c r="P1252" s="2268" t="s">
        <v>2765</v>
      </c>
      <c r="Q1252" s="2269">
        <v>100000</v>
      </c>
      <c r="R1252" s="2270" t="s">
        <v>2766</v>
      </c>
      <c r="S1252" s="2270">
        <v>100000</v>
      </c>
      <c r="T1252" s="2268"/>
      <c r="U1252" s="2268" t="s">
        <v>2767</v>
      </c>
      <c r="V1252" s="2268" t="s">
        <v>2768</v>
      </c>
      <c r="W1252" s="2268"/>
    </row>
    <row r="1253" spans="4:23" ht="30">
      <c r="D1253" s="2316"/>
      <c r="E1253" s="2271" t="s">
        <v>676</v>
      </c>
      <c r="F1253" s="2888" t="s">
        <v>676</v>
      </c>
      <c r="G1253" s="2907"/>
      <c r="H1253" s="2907"/>
      <c r="I1253" s="2908"/>
      <c r="J1253" s="2888" t="s">
        <v>676</v>
      </c>
      <c r="K1253" s="2908"/>
      <c r="L1253" s="2888" t="s">
        <v>676</v>
      </c>
      <c r="M1253" s="2908"/>
      <c r="N1253" s="2271" t="s">
        <v>676</v>
      </c>
      <c r="O1253" s="2271" t="s">
        <v>676</v>
      </c>
      <c r="P1253" s="2271" t="s">
        <v>676</v>
      </c>
      <c r="Q1253" s="2272" t="s">
        <v>676</v>
      </c>
      <c r="R1253" s="2270" t="s">
        <v>2769</v>
      </c>
      <c r="S1253" s="2270">
        <v>0</v>
      </c>
      <c r="T1253" s="2271" t="s">
        <v>676</v>
      </c>
      <c r="U1253" s="2271" t="s">
        <v>676</v>
      </c>
      <c r="V1253" s="2271" t="s">
        <v>676</v>
      </c>
      <c r="W1253" s="2271" t="s">
        <v>676</v>
      </c>
    </row>
    <row r="1254" spans="4:23" ht="30">
      <c r="D1254" s="2316"/>
      <c r="E1254" s="2271" t="s">
        <v>676</v>
      </c>
      <c r="F1254" s="2891" t="s">
        <v>676</v>
      </c>
      <c r="G1254" s="2907"/>
      <c r="H1254" s="2907"/>
      <c r="I1254" s="2908"/>
      <c r="J1254" s="2892" t="s">
        <v>676</v>
      </c>
      <c r="K1254" s="2907"/>
      <c r="L1254" s="2888" t="s">
        <v>676</v>
      </c>
      <c r="M1254" s="2908"/>
      <c r="N1254" s="2271" t="s">
        <v>676</v>
      </c>
      <c r="O1254" s="2271" t="s">
        <v>676</v>
      </c>
      <c r="P1254" s="2271" t="s">
        <v>676</v>
      </c>
      <c r="Q1254" s="2272" t="s">
        <v>676</v>
      </c>
      <c r="R1254" s="2270" t="s">
        <v>2770</v>
      </c>
      <c r="S1254" s="2270">
        <v>0</v>
      </c>
      <c r="T1254" s="2271" t="s">
        <v>676</v>
      </c>
      <c r="U1254" s="2271" t="s">
        <v>676</v>
      </c>
      <c r="V1254" s="2271" t="s">
        <v>676</v>
      </c>
      <c r="W1254" s="2271" t="s">
        <v>676</v>
      </c>
    </row>
    <row r="1255" spans="4:23" ht="45">
      <c r="D1255" s="2316"/>
      <c r="E1255" s="2268">
        <v>6</v>
      </c>
      <c r="F1255" s="2882" t="s">
        <v>3125</v>
      </c>
      <c r="G1255" s="2905"/>
      <c r="H1255" s="2905"/>
      <c r="I1255" s="2906"/>
      <c r="J1255" s="2882" t="s">
        <v>2092</v>
      </c>
      <c r="K1255" s="2906"/>
      <c r="L1255" s="2882" t="s">
        <v>2762</v>
      </c>
      <c r="M1255" s="2906"/>
      <c r="N1255" s="2268" t="s">
        <v>2763</v>
      </c>
      <c r="O1255" s="2268" t="s">
        <v>2775</v>
      </c>
      <c r="P1255" s="2268" t="s">
        <v>2765</v>
      </c>
      <c r="Q1255" s="2269">
        <v>100000</v>
      </c>
      <c r="R1255" s="2270" t="s">
        <v>2766</v>
      </c>
      <c r="S1255" s="2270">
        <v>100000</v>
      </c>
      <c r="T1255" s="2268"/>
      <c r="U1255" s="2268" t="s">
        <v>2767</v>
      </c>
      <c r="V1255" s="2268" t="s">
        <v>2768</v>
      </c>
      <c r="W1255" s="2268"/>
    </row>
    <row r="1256" spans="4:23" ht="30">
      <c r="D1256" s="2316"/>
      <c r="E1256" s="2271" t="s">
        <v>676</v>
      </c>
      <c r="F1256" s="2888" t="s">
        <v>676</v>
      </c>
      <c r="G1256" s="2907"/>
      <c r="H1256" s="2907"/>
      <c r="I1256" s="2908"/>
      <c r="J1256" s="2888" t="s">
        <v>676</v>
      </c>
      <c r="K1256" s="2908"/>
      <c r="L1256" s="2888" t="s">
        <v>676</v>
      </c>
      <c r="M1256" s="2908"/>
      <c r="N1256" s="2271" t="s">
        <v>676</v>
      </c>
      <c r="O1256" s="2271" t="s">
        <v>676</v>
      </c>
      <c r="P1256" s="2271" t="s">
        <v>676</v>
      </c>
      <c r="Q1256" s="2272" t="s">
        <v>676</v>
      </c>
      <c r="R1256" s="2270" t="s">
        <v>2769</v>
      </c>
      <c r="S1256" s="2270">
        <v>0</v>
      </c>
      <c r="T1256" s="2271" t="s">
        <v>676</v>
      </c>
      <c r="U1256" s="2271" t="s">
        <v>676</v>
      </c>
      <c r="V1256" s="2271" t="s">
        <v>676</v>
      </c>
      <c r="W1256" s="2271" t="s">
        <v>676</v>
      </c>
    </row>
    <row r="1257" spans="4:23" ht="30">
      <c r="D1257" s="2316"/>
      <c r="E1257" s="2271" t="s">
        <v>676</v>
      </c>
      <c r="F1257" s="2891" t="s">
        <v>676</v>
      </c>
      <c r="G1257" s="2907"/>
      <c r="H1257" s="2907"/>
      <c r="I1257" s="2908"/>
      <c r="J1257" s="2892" t="s">
        <v>676</v>
      </c>
      <c r="K1257" s="2907"/>
      <c r="L1257" s="2888" t="s">
        <v>676</v>
      </c>
      <c r="M1257" s="2908"/>
      <c r="N1257" s="2271" t="s">
        <v>676</v>
      </c>
      <c r="O1257" s="2271" t="s">
        <v>676</v>
      </c>
      <c r="P1257" s="2271" t="s">
        <v>676</v>
      </c>
      <c r="Q1257" s="2272" t="s">
        <v>676</v>
      </c>
      <c r="R1257" s="2270" t="s">
        <v>2770</v>
      </c>
      <c r="S1257" s="2270">
        <v>0</v>
      </c>
      <c r="T1257" s="2271" t="s">
        <v>676</v>
      </c>
      <c r="U1257" s="2271" t="s">
        <v>676</v>
      </c>
      <c r="V1257" s="2271" t="s">
        <v>676</v>
      </c>
      <c r="W1257" s="2271" t="s">
        <v>676</v>
      </c>
    </row>
    <row r="1258" spans="4:23" ht="45">
      <c r="D1258" s="2316"/>
      <c r="E1258" s="2268">
        <v>7</v>
      </c>
      <c r="F1258" s="2882" t="s">
        <v>2096</v>
      </c>
      <c r="G1258" s="2905"/>
      <c r="H1258" s="2905"/>
      <c r="I1258" s="2906"/>
      <c r="J1258" s="2882" t="s">
        <v>1816</v>
      </c>
      <c r="K1258" s="2906"/>
      <c r="L1258" s="2882" t="s">
        <v>2762</v>
      </c>
      <c r="M1258" s="2906"/>
      <c r="N1258" s="2268" t="s">
        <v>2763</v>
      </c>
      <c r="O1258" s="2268" t="s">
        <v>2775</v>
      </c>
      <c r="P1258" s="2268" t="s">
        <v>2776</v>
      </c>
      <c r="Q1258" s="2269">
        <v>400000</v>
      </c>
      <c r="R1258" s="2270" t="s">
        <v>2766</v>
      </c>
      <c r="S1258" s="2270">
        <v>400000</v>
      </c>
      <c r="T1258" s="2268" t="s">
        <v>688</v>
      </c>
      <c r="U1258" s="2268" t="s">
        <v>2767</v>
      </c>
      <c r="V1258" s="2268" t="s">
        <v>2768</v>
      </c>
      <c r="W1258" s="2268"/>
    </row>
    <row r="1259" spans="4:23" ht="30">
      <c r="D1259" s="2316"/>
      <c r="E1259" s="2271" t="s">
        <v>676</v>
      </c>
      <c r="F1259" s="2888" t="s">
        <v>676</v>
      </c>
      <c r="G1259" s="2907"/>
      <c r="H1259" s="2907"/>
      <c r="I1259" s="2908"/>
      <c r="J1259" s="2888" t="s">
        <v>676</v>
      </c>
      <c r="K1259" s="2908"/>
      <c r="L1259" s="2888" t="s">
        <v>676</v>
      </c>
      <c r="M1259" s="2908"/>
      <c r="N1259" s="2271" t="s">
        <v>676</v>
      </c>
      <c r="O1259" s="2271" t="s">
        <v>676</v>
      </c>
      <c r="P1259" s="2271" t="s">
        <v>676</v>
      </c>
      <c r="Q1259" s="2272" t="s">
        <v>676</v>
      </c>
      <c r="R1259" s="2270" t="s">
        <v>2769</v>
      </c>
      <c r="S1259" s="2270">
        <v>0</v>
      </c>
      <c r="T1259" s="2271" t="s">
        <v>676</v>
      </c>
      <c r="U1259" s="2271" t="s">
        <v>676</v>
      </c>
      <c r="V1259" s="2271" t="s">
        <v>676</v>
      </c>
      <c r="W1259" s="2271" t="s">
        <v>676</v>
      </c>
    </row>
    <row r="1260" spans="4:23" ht="30">
      <c r="D1260" s="2316"/>
      <c r="E1260" s="2271" t="s">
        <v>676</v>
      </c>
      <c r="F1260" s="2891" t="s">
        <v>676</v>
      </c>
      <c r="G1260" s="2907"/>
      <c r="H1260" s="2907"/>
      <c r="I1260" s="2908"/>
      <c r="J1260" s="2892" t="s">
        <v>676</v>
      </c>
      <c r="K1260" s="2907"/>
      <c r="L1260" s="2888" t="s">
        <v>676</v>
      </c>
      <c r="M1260" s="2908"/>
      <c r="N1260" s="2271" t="s">
        <v>676</v>
      </c>
      <c r="O1260" s="2271" t="s">
        <v>676</v>
      </c>
      <c r="P1260" s="2271" t="s">
        <v>676</v>
      </c>
      <c r="Q1260" s="2272" t="s">
        <v>676</v>
      </c>
      <c r="R1260" s="2270" t="s">
        <v>2770</v>
      </c>
      <c r="S1260" s="2270">
        <v>0</v>
      </c>
      <c r="T1260" s="2271" t="s">
        <v>676</v>
      </c>
      <c r="U1260" s="2271" t="s">
        <v>676</v>
      </c>
      <c r="V1260" s="2271" t="s">
        <v>676</v>
      </c>
      <c r="W1260" s="2271" t="s">
        <v>676</v>
      </c>
    </row>
    <row r="1261" spans="4:23" ht="45">
      <c r="D1261" s="2316"/>
      <c r="E1261" s="2268">
        <v>8</v>
      </c>
      <c r="F1261" s="2882" t="s">
        <v>2109</v>
      </c>
      <c r="G1261" s="2905"/>
      <c r="H1261" s="2905"/>
      <c r="I1261" s="2906"/>
      <c r="J1261" s="2882" t="s">
        <v>1826</v>
      </c>
      <c r="K1261" s="2906"/>
      <c r="L1261" s="2882" t="s">
        <v>2762</v>
      </c>
      <c r="M1261" s="2906"/>
      <c r="N1261" s="2268" t="s">
        <v>2763</v>
      </c>
      <c r="O1261" s="2268" t="s">
        <v>2764</v>
      </c>
      <c r="P1261" s="2268" t="s">
        <v>2765</v>
      </c>
      <c r="Q1261" s="2269">
        <v>60000</v>
      </c>
      <c r="R1261" s="2270" t="s">
        <v>2766</v>
      </c>
      <c r="S1261" s="2270">
        <v>60000</v>
      </c>
      <c r="T1261" s="2268"/>
      <c r="U1261" s="2268" t="s">
        <v>2767</v>
      </c>
      <c r="V1261" s="2268" t="s">
        <v>2768</v>
      </c>
      <c r="W1261" s="2268"/>
    </row>
    <row r="1262" spans="4:23" ht="30">
      <c r="D1262" s="2316"/>
      <c r="E1262" s="2271" t="s">
        <v>676</v>
      </c>
      <c r="F1262" s="2888" t="s">
        <v>676</v>
      </c>
      <c r="G1262" s="2907"/>
      <c r="H1262" s="2907"/>
      <c r="I1262" s="2908"/>
      <c r="J1262" s="2888" t="s">
        <v>676</v>
      </c>
      <c r="K1262" s="2908"/>
      <c r="L1262" s="2888" t="s">
        <v>676</v>
      </c>
      <c r="M1262" s="2908"/>
      <c r="N1262" s="2271" t="s">
        <v>676</v>
      </c>
      <c r="O1262" s="2271" t="s">
        <v>676</v>
      </c>
      <c r="P1262" s="2271" t="s">
        <v>676</v>
      </c>
      <c r="Q1262" s="2272" t="s">
        <v>676</v>
      </c>
      <c r="R1262" s="2270" t="s">
        <v>2769</v>
      </c>
      <c r="S1262" s="2270">
        <v>0</v>
      </c>
      <c r="T1262" s="2271" t="s">
        <v>676</v>
      </c>
      <c r="U1262" s="2271" t="s">
        <v>676</v>
      </c>
      <c r="V1262" s="2271" t="s">
        <v>676</v>
      </c>
      <c r="W1262" s="2271" t="s">
        <v>676</v>
      </c>
    </row>
    <row r="1263" spans="4:23" ht="30">
      <c r="D1263" s="2316"/>
      <c r="E1263" s="2273" t="s">
        <v>676</v>
      </c>
      <c r="F1263" s="2896" t="s">
        <v>676</v>
      </c>
      <c r="G1263" s="2897"/>
      <c r="H1263" s="2897"/>
      <c r="I1263" s="2898"/>
      <c r="J1263" s="2899" t="s">
        <v>676</v>
      </c>
      <c r="K1263" s="2897"/>
      <c r="L1263" s="2900" t="s">
        <v>676</v>
      </c>
      <c r="M1263" s="2898"/>
      <c r="N1263" s="2273" t="s">
        <v>676</v>
      </c>
      <c r="O1263" s="2273" t="s">
        <v>676</v>
      </c>
      <c r="P1263" s="2273" t="s">
        <v>676</v>
      </c>
      <c r="Q1263" s="2274" t="s">
        <v>676</v>
      </c>
      <c r="R1263" s="2270" t="s">
        <v>2770</v>
      </c>
      <c r="S1263" s="2270">
        <v>0</v>
      </c>
      <c r="T1263" s="2273" t="s">
        <v>676</v>
      </c>
      <c r="U1263" s="2273" t="s">
        <v>676</v>
      </c>
      <c r="V1263" s="2273" t="s">
        <v>676</v>
      </c>
      <c r="W1263" s="2273" t="s">
        <v>676</v>
      </c>
    </row>
    <row r="1264" spans="4:23" ht="30">
      <c r="D1264" s="2359"/>
      <c r="E1264" s="2423"/>
      <c r="F1264" s="2424" t="s">
        <v>82</v>
      </c>
      <c r="G1264" s="2424"/>
      <c r="H1264" s="2424"/>
      <c r="I1264" s="2424"/>
      <c r="J1264" s="2424"/>
      <c r="K1264" s="2424"/>
      <c r="L1264" s="2425"/>
      <c r="M1264" s="2425"/>
      <c r="N1264" s="2425"/>
      <c r="O1264" s="2424"/>
      <c r="P1264" s="2424"/>
      <c r="Q1264" s="2426">
        <f>SUM(Q1240:Q1263)</f>
        <v>2560000</v>
      </c>
      <c r="R1264" s="2426"/>
      <c r="S1264" s="2340">
        <f>SUM(S1240:S1263)</f>
        <v>2560000</v>
      </c>
      <c r="T1264" s="2427"/>
      <c r="U1264" s="2428"/>
      <c r="V1264" s="2337"/>
      <c r="W1264" s="2342"/>
    </row>
    <row r="1265" spans="4:23" ht="20.25">
      <c r="D1265" s="2326"/>
      <c r="E1265" s="2324"/>
      <c r="F1265" s="2325"/>
      <c r="G1265" s="2324"/>
      <c r="H1265" s="2324"/>
      <c r="I1265" s="2325"/>
      <c r="J1265" s="2324"/>
      <c r="K1265" s="2324"/>
      <c r="L1265" s="2324"/>
      <c r="M1265" s="2324"/>
      <c r="N1265" s="2326"/>
      <c r="O1265" s="2326"/>
      <c r="P1265" s="2326"/>
      <c r="Q1265" s="2326"/>
      <c r="R1265" s="2328" t="s">
        <v>2789</v>
      </c>
      <c r="S1265" s="2326"/>
      <c r="T1265" s="2326"/>
      <c r="U1265" s="2326"/>
      <c r="V1265" s="2326"/>
      <c r="W1265" s="2326"/>
    </row>
    <row r="1266" spans="4:23" ht="20.25">
      <c r="D1266" s="2326"/>
      <c r="E1266" s="2326"/>
      <c r="F1266" s="2326"/>
      <c r="G1266" s="2326"/>
      <c r="H1266" s="2326"/>
      <c r="I1266" s="2326"/>
      <c r="J1266" s="2326"/>
      <c r="K1266" s="2326"/>
      <c r="L1266" s="2326"/>
      <c r="M1266" s="2326"/>
      <c r="N1266" s="2326"/>
      <c r="O1266" s="2326"/>
      <c r="P1266" s="2326"/>
      <c r="Q1266" s="2326"/>
      <c r="R1266" s="2328" t="s">
        <v>2790</v>
      </c>
      <c r="S1266" s="2326"/>
      <c r="T1266" s="2326"/>
      <c r="U1266" s="2326"/>
      <c r="V1266" s="2326"/>
      <c r="W1266" s="2326"/>
    </row>
    <row r="1267" spans="4:23" ht="20.25">
      <c r="D1267" s="2911" t="s">
        <v>2749</v>
      </c>
      <c r="E1267" s="2911"/>
      <c r="F1267" s="2911"/>
      <c r="G1267" s="2911"/>
      <c r="H1267" s="2911"/>
      <c r="I1267" s="2911"/>
      <c r="J1267" s="2911"/>
      <c r="K1267" s="1586"/>
      <c r="L1267" s="1586"/>
      <c r="M1267" s="1586"/>
      <c r="N1267" s="1586"/>
      <c r="O1267" s="1586"/>
      <c r="P1267" s="1586"/>
      <c r="Q1267" s="2314"/>
      <c r="R1267" s="2314"/>
      <c r="S1267" s="2314"/>
      <c r="T1267" s="1586"/>
      <c r="U1267" s="1586"/>
      <c r="V1267" s="1586"/>
      <c r="W1267" s="1586"/>
    </row>
    <row r="1268" spans="4:23" ht="15">
      <c r="D1268" s="1586"/>
      <c r="E1268" s="1586"/>
      <c r="F1268" s="1586"/>
      <c r="G1268" s="1586"/>
      <c r="H1268" s="1586"/>
      <c r="I1268" s="1586"/>
      <c r="J1268" s="1586"/>
      <c r="K1268" s="1586"/>
      <c r="L1268" s="1586"/>
      <c r="M1268" s="1586"/>
      <c r="N1268" s="1586"/>
      <c r="O1268" s="1586"/>
      <c r="P1268" s="1586"/>
      <c r="Q1268" s="2314"/>
      <c r="R1268" s="2314"/>
      <c r="S1268" s="2314"/>
      <c r="T1268" s="1586"/>
      <c r="U1268" s="1586"/>
      <c r="V1268" s="1586"/>
      <c r="W1268" s="1586"/>
    </row>
    <row r="1269" spans="4:23" ht="15">
      <c r="D1269" s="2912" t="s">
        <v>653</v>
      </c>
      <c r="E1269" s="2914"/>
      <c r="F1269" s="2914"/>
      <c r="G1269" s="1586"/>
      <c r="H1269" s="2315">
        <v>2020</v>
      </c>
      <c r="I1269" s="1586"/>
      <c r="J1269" s="1586"/>
      <c r="K1269" s="1586"/>
      <c r="L1269" s="1586"/>
      <c r="M1269" s="1586"/>
      <c r="N1269" s="1586"/>
      <c r="O1269" s="1586"/>
      <c r="P1269" s="1586"/>
      <c r="Q1269" s="2314"/>
      <c r="R1269" s="2314"/>
      <c r="S1269" s="2314"/>
      <c r="T1269" s="1586"/>
      <c r="U1269" s="1586"/>
      <c r="V1269" s="1586"/>
      <c r="W1269" s="1586"/>
    </row>
    <row r="1270" spans="4:23" ht="15">
      <c r="D1270" s="1586"/>
      <c r="E1270" s="1586"/>
      <c r="F1270" s="1586"/>
      <c r="G1270" s="1586"/>
      <c r="H1270" s="1586"/>
      <c r="I1270" s="1586"/>
      <c r="J1270" s="1586"/>
      <c r="K1270" s="1586"/>
      <c r="L1270" s="1586"/>
      <c r="M1270" s="1586"/>
      <c r="N1270" s="1586"/>
      <c r="O1270" s="1586"/>
      <c r="P1270" s="1586"/>
      <c r="Q1270" s="2314"/>
      <c r="R1270" s="2314"/>
      <c r="S1270" s="2314"/>
      <c r="T1270" s="1586"/>
      <c r="U1270" s="1586"/>
      <c r="V1270" s="1586"/>
      <c r="W1270" s="1586"/>
    </row>
    <row r="1271" spans="4:23" ht="15">
      <c r="D1271" s="2912" t="s">
        <v>655</v>
      </c>
      <c r="E1271" s="2914"/>
      <c r="F1271" s="2914"/>
      <c r="G1271" s="1586"/>
      <c r="H1271" s="2913" t="s">
        <v>3126</v>
      </c>
      <c r="I1271" s="2914"/>
      <c r="J1271" s="2914"/>
      <c r="K1271" s="2914"/>
      <c r="L1271" s="2914"/>
      <c r="M1271" s="1586"/>
      <c r="N1271" s="1586"/>
      <c r="O1271" s="1586"/>
      <c r="P1271" s="1586"/>
      <c r="Q1271" s="2314"/>
      <c r="R1271" s="2314"/>
      <c r="S1271" s="2314"/>
      <c r="T1271" s="1586"/>
      <c r="U1271" s="1586"/>
      <c r="V1271" s="1586"/>
      <c r="W1271" s="1586"/>
    </row>
    <row r="1272" spans="4:23" ht="15">
      <c r="D1272" s="1586"/>
      <c r="E1272" s="1586"/>
      <c r="F1272" s="1586"/>
      <c r="G1272" s="1586"/>
      <c r="H1272" s="1586"/>
      <c r="I1272" s="1586"/>
      <c r="J1272" s="1586"/>
      <c r="K1272" s="1586"/>
      <c r="L1272" s="1586"/>
      <c r="M1272" s="1586"/>
      <c r="N1272" s="1586"/>
      <c r="O1272" s="1586"/>
      <c r="P1272" s="1586"/>
      <c r="Q1272" s="2314"/>
      <c r="R1272" s="2314"/>
      <c r="S1272" s="2314"/>
      <c r="T1272" s="1586"/>
      <c r="U1272" s="1586"/>
      <c r="V1272" s="1586"/>
      <c r="W1272" s="1586"/>
    </row>
    <row r="1273" spans="4:23" ht="78.75">
      <c r="D1273" s="2316"/>
      <c r="E1273" s="2266" t="s">
        <v>657</v>
      </c>
      <c r="F1273" s="2893" t="s">
        <v>587</v>
      </c>
      <c r="G1273" s="2909"/>
      <c r="H1273" s="2909"/>
      <c r="I1273" s="2910"/>
      <c r="J1273" s="2893" t="s">
        <v>2751</v>
      </c>
      <c r="K1273" s="2910"/>
      <c r="L1273" s="2893" t="s">
        <v>2752</v>
      </c>
      <c r="M1273" s="2910"/>
      <c r="N1273" s="2266" t="s">
        <v>2753</v>
      </c>
      <c r="O1273" s="2266" t="s">
        <v>2754</v>
      </c>
      <c r="P1273" s="2266" t="s">
        <v>2755</v>
      </c>
      <c r="Q1273" s="2267" t="s">
        <v>2756</v>
      </c>
      <c r="R1273" s="2267" t="s">
        <v>2757</v>
      </c>
      <c r="S1273" s="2267" t="s">
        <v>2758</v>
      </c>
      <c r="T1273" s="2266" t="s">
        <v>623</v>
      </c>
      <c r="U1273" s="2266" t="s">
        <v>2759</v>
      </c>
      <c r="V1273" s="2266" t="s">
        <v>2760</v>
      </c>
      <c r="W1273" s="2266" t="s">
        <v>2761</v>
      </c>
    </row>
    <row r="1274" spans="4:23" ht="45">
      <c r="D1274" s="2316"/>
      <c r="E1274" s="2268">
        <v>1</v>
      </c>
      <c r="F1274" s="2882" t="s">
        <v>3127</v>
      </c>
      <c r="G1274" s="2905"/>
      <c r="H1274" s="2905"/>
      <c r="I1274" s="2906"/>
      <c r="J1274" s="2882" t="s">
        <v>1898</v>
      </c>
      <c r="K1274" s="2906"/>
      <c r="L1274" s="2882" t="s">
        <v>2762</v>
      </c>
      <c r="M1274" s="2906"/>
      <c r="N1274" s="2268" t="s">
        <v>2763</v>
      </c>
      <c r="O1274" s="2268" t="s">
        <v>2775</v>
      </c>
      <c r="P1274" s="2268" t="s">
        <v>2765</v>
      </c>
      <c r="Q1274" s="2269">
        <v>95000</v>
      </c>
      <c r="R1274" s="2270" t="s">
        <v>2766</v>
      </c>
      <c r="S1274" s="2270">
        <v>95000</v>
      </c>
      <c r="T1274" s="2268"/>
      <c r="U1274" s="2268" t="s">
        <v>2863</v>
      </c>
      <c r="V1274" s="2268" t="s">
        <v>2768</v>
      </c>
      <c r="W1274" s="2268"/>
    </row>
    <row r="1275" spans="4:23" ht="30">
      <c r="D1275" s="2316"/>
      <c r="E1275" s="2271" t="s">
        <v>676</v>
      </c>
      <c r="F1275" s="2888" t="s">
        <v>676</v>
      </c>
      <c r="G1275" s="2907"/>
      <c r="H1275" s="2907"/>
      <c r="I1275" s="2908"/>
      <c r="J1275" s="2888" t="s">
        <v>676</v>
      </c>
      <c r="K1275" s="2908"/>
      <c r="L1275" s="2888" t="s">
        <v>676</v>
      </c>
      <c r="M1275" s="2908"/>
      <c r="N1275" s="2271" t="s">
        <v>676</v>
      </c>
      <c r="O1275" s="2271" t="s">
        <v>676</v>
      </c>
      <c r="P1275" s="2271" t="s">
        <v>676</v>
      </c>
      <c r="Q1275" s="2272" t="s">
        <v>676</v>
      </c>
      <c r="R1275" s="2270" t="s">
        <v>2769</v>
      </c>
      <c r="S1275" s="2270">
        <v>0</v>
      </c>
      <c r="T1275" s="2271" t="s">
        <v>676</v>
      </c>
      <c r="U1275" s="2271" t="s">
        <v>676</v>
      </c>
      <c r="V1275" s="2271" t="s">
        <v>676</v>
      </c>
      <c r="W1275" s="2271" t="s">
        <v>676</v>
      </c>
    </row>
    <row r="1276" spans="4:23" ht="30">
      <c r="D1276" s="2316"/>
      <c r="E1276" s="2271" t="s">
        <v>676</v>
      </c>
      <c r="F1276" s="2891" t="s">
        <v>676</v>
      </c>
      <c r="G1276" s="2907"/>
      <c r="H1276" s="2907"/>
      <c r="I1276" s="2908"/>
      <c r="J1276" s="2892" t="s">
        <v>676</v>
      </c>
      <c r="K1276" s="2907"/>
      <c r="L1276" s="2888" t="s">
        <v>676</v>
      </c>
      <c r="M1276" s="2908"/>
      <c r="N1276" s="2271" t="s">
        <v>676</v>
      </c>
      <c r="O1276" s="2271" t="s">
        <v>676</v>
      </c>
      <c r="P1276" s="2271" t="s">
        <v>676</v>
      </c>
      <c r="Q1276" s="2272" t="s">
        <v>676</v>
      </c>
      <c r="R1276" s="2270" t="s">
        <v>2770</v>
      </c>
      <c r="S1276" s="2270">
        <v>0</v>
      </c>
      <c r="T1276" s="2271" t="s">
        <v>676</v>
      </c>
      <c r="U1276" s="2271" t="s">
        <v>676</v>
      </c>
      <c r="V1276" s="2271" t="s">
        <v>676</v>
      </c>
      <c r="W1276" s="2271" t="s">
        <v>676</v>
      </c>
    </row>
    <row r="1277" spans="4:23" ht="45">
      <c r="D1277" s="2316"/>
      <c r="E1277" s="2268">
        <v>2</v>
      </c>
      <c r="F1277" s="2882" t="s">
        <v>3128</v>
      </c>
      <c r="G1277" s="2905"/>
      <c r="H1277" s="2905"/>
      <c r="I1277" s="2906"/>
      <c r="J1277" s="2882" t="s">
        <v>699</v>
      </c>
      <c r="K1277" s="2906"/>
      <c r="L1277" s="2882" t="s">
        <v>2762</v>
      </c>
      <c r="M1277" s="2906"/>
      <c r="N1277" s="2268" t="s">
        <v>2763</v>
      </c>
      <c r="O1277" s="2268" t="s">
        <v>2775</v>
      </c>
      <c r="P1277" s="2268" t="s">
        <v>2765</v>
      </c>
      <c r="Q1277" s="2269">
        <v>40000</v>
      </c>
      <c r="R1277" s="2270" t="s">
        <v>2766</v>
      </c>
      <c r="S1277" s="2270">
        <v>40000</v>
      </c>
      <c r="T1277" s="2268"/>
      <c r="U1277" s="2268" t="s">
        <v>2868</v>
      </c>
      <c r="V1277" s="2268" t="s">
        <v>2768</v>
      </c>
      <c r="W1277" s="2268"/>
    </row>
    <row r="1278" spans="4:23" ht="30">
      <c r="D1278" s="2316"/>
      <c r="E1278" s="2271" t="s">
        <v>676</v>
      </c>
      <c r="F1278" s="2888" t="s">
        <v>676</v>
      </c>
      <c r="G1278" s="2907"/>
      <c r="H1278" s="2907"/>
      <c r="I1278" s="2908"/>
      <c r="J1278" s="2888" t="s">
        <v>676</v>
      </c>
      <c r="K1278" s="2908"/>
      <c r="L1278" s="2888" t="s">
        <v>676</v>
      </c>
      <c r="M1278" s="2908"/>
      <c r="N1278" s="2271" t="s">
        <v>676</v>
      </c>
      <c r="O1278" s="2271" t="s">
        <v>676</v>
      </c>
      <c r="P1278" s="2271" t="s">
        <v>676</v>
      </c>
      <c r="Q1278" s="2272" t="s">
        <v>676</v>
      </c>
      <c r="R1278" s="2270" t="s">
        <v>2769</v>
      </c>
      <c r="S1278" s="2270">
        <v>0</v>
      </c>
      <c r="T1278" s="2271" t="s">
        <v>676</v>
      </c>
      <c r="U1278" s="2271" t="s">
        <v>676</v>
      </c>
      <c r="V1278" s="2271" t="s">
        <v>676</v>
      </c>
      <c r="W1278" s="2271" t="s">
        <v>676</v>
      </c>
    </row>
    <row r="1279" spans="4:23" ht="30">
      <c r="D1279" s="2316"/>
      <c r="E1279" s="2271" t="s">
        <v>676</v>
      </c>
      <c r="F1279" s="2891" t="s">
        <v>676</v>
      </c>
      <c r="G1279" s="2907"/>
      <c r="H1279" s="2907"/>
      <c r="I1279" s="2908"/>
      <c r="J1279" s="2892" t="s">
        <v>676</v>
      </c>
      <c r="K1279" s="2907"/>
      <c r="L1279" s="2888" t="s">
        <v>676</v>
      </c>
      <c r="M1279" s="2908"/>
      <c r="N1279" s="2271" t="s">
        <v>676</v>
      </c>
      <c r="O1279" s="2271" t="s">
        <v>676</v>
      </c>
      <c r="P1279" s="2271" t="s">
        <v>676</v>
      </c>
      <c r="Q1279" s="2272" t="s">
        <v>676</v>
      </c>
      <c r="R1279" s="2270" t="s">
        <v>2770</v>
      </c>
      <c r="S1279" s="2270">
        <v>0</v>
      </c>
      <c r="T1279" s="2271" t="s">
        <v>676</v>
      </c>
      <c r="U1279" s="2271" t="s">
        <v>676</v>
      </c>
      <c r="V1279" s="2271" t="s">
        <v>676</v>
      </c>
      <c r="W1279" s="2271" t="s">
        <v>676</v>
      </c>
    </row>
    <row r="1280" spans="4:23" ht="45">
      <c r="D1280" s="2316"/>
      <c r="E1280" s="2268">
        <v>3</v>
      </c>
      <c r="F1280" s="2882" t="s">
        <v>3129</v>
      </c>
      <c r="G1280" s="2905"/>
      <c r="H1280" s="2905"/>
      <c r="I1280" s="2906"/>
      <c r="J1280" s="2882" t="s">
        <v>2192</v>
      </c>
      <c r="K1280" s="2906"/>
      <c r="L1280" s="2882" t="s">
        <v>2762</v>
      </c>
      <c r="M1280" s="2906"/>
      <c r="N1280" s="2268" t="s">
        <v>2763</v>
      </c>
      <c r="O1280" s="2268" t="s">
        <v>2764</v>
      </c>
      <c r="P1280" s="2268" t="s">
        <v>2765</v>
      </c>
      <c r="Q1280" s="2269">
        <v>100000</v>
      </c>
      <c r="R1280" s="2270" t="s">
        <v>2766</v>
      </c>
      <c r="S1280" s="2270">
        <v>100000</v>
      </c>
      <c r="T1280" s="2268"/>
      <c r="U1280" s="2268" t="s">
        <v>3029</v>
      </c>
      <c r="V1280" s="2268" t="s">
        <v>2768</v>
      </c>
      <c r="W1280" s="2268"/>
    </row>
    <row r="1281" spans="4:23" ht="30">
      <c r="D1281" s="2316"/>
      <c r="E1281" s="2271" t="s">
        <v>676</v>
      </c>
      <c r="F1281" s="2888" t="s">
        <v>676</v>
      </c>
      <c r="G1281" s="2907"/>
      <c r="H1281" s="2907"/>
      <c r="I1281" s="2908"/>
      <c r="J1281" s="2888" t="s">
        <v>676</v>
      </c>
      <c r="K1281" s="2908"/>
      <c r="L1281" s="2888" t="s">
        <v>676</v>
      </c>
      <c r="M1281" s="2908"/>
      <c r="N1281" s="2271" t="s">
        <v>676</v>
      </c>
      <c r="O1281" s="2271" t="s">
        <v>676</v>
      </c>
      <c r="P1281" s="2271" t="s">
        <v>676</v>
      </c>
      <c r="Q1281" s="2272" t="s">
        <v>676</v>
      </c>
      <c r="R1281" s="2270" t="s">
        <v>2769</v>
      </c>
      <c r="S1281" s="2270">
        <v>0</v>
      </c>
      <c r="T1281" s="2271" t="s">
        <v>676</v>
      </c>
      <c r="U1281" s="2271" t="s">
        <v>676</v>
      </c>
      <c r="V1281" s="2271" t="s">
        <v>676</v>
      </c>
      <c r="W1281" s="2271" t="s">
        <v>676</v>
      </c>
    </row>
    <row r="1282" spans="4:23" ht="30">
      <c r="D1282" s="2316"/>
      <c r="E1282" s="2273" t="s">
        <v>676</v>
      </c>
      <c r="F1282" s="2896" t="s">
        <v>676</v>
      </c>
      <c r="G1282" s="2897"/>
      <c r="H1282" s="2897"/>
      <c r="I1282" s="2898"/>
      <c r="J1282" s="2899" t="s">
        <v>676</v>
      </c>
      <c r="K1282" s="2897"/>
      <c r="L1282" s="2900" t="s">
        <v>676</v>
      </c>
      <c r="M1282" s="2898"/>
      <c r="N1282" s="2273" t="s">
        <v>676</v>
      </c>
      <c r="O1282" s="2273" t="s">
        <v>676</v>
      </c>
      <c r="P1282" s="2273" t="s">
        <v>676</v>
      </c>
      <c r="Q1282" s="2274" t="s">
        <v>676</v>
      </c>
      <c r="R1282" s="2270" t="s">
        <v>2770</v>
      </c>
      <c r="S1282" s="2270">
        <v>0</v>
      </c>
      <c r="T1282" s="2273" t="s">
        <v>676</v>
      </c>
      <c r="U1282" s="2273" t="s">
        <v>676</v>
      </c>
      <c r="V1282" s="2273" t="s">
        <v>676</v>
      </c>
      <c r="W1282" s="2273" t="s">
        <v>676</v>
      </c>
    </row>
    <row r="1283" spans="4:23" ht="30">
      <c r="D1283" s="1586"/>
      <c r="E1283" s="2429"/>
      <c r="F1283" s="2430" t="s">
        <v>3130</v>
      </c>
      <c r="G1283" s="2431"/>
      <c r="H1283" s="2431"/>
      <c r="I1283" s="2431"/>
      <c r="J1283" s="2430"/>
      <c r="K1283" s="2431"/>
      <c r="L1283" s="2430"/>
      <c r="M1283" s="2431"/>
      <c r="N1283" s="2430"/>
      <c r="O1283" s="2430"/>
      <c r="P1283" s="2430"/>
      <c r="Q1283" s="2432">
        <f>SUM(Q1274:Q1282)</f>
        <v>235000</v>
      </c>
      <c r="R1283" s="2432"/>
      <c r="S1283" s="2432">
        <f>SUM(S1274:S1282)</f>
        <v>235000</v>
      </c>
      <c r="T1283" s="2430"/>
      <c r="U1283" s="2430"/>
      <c r="V1283" s="2430"/>
      <c r="W1283" s="2433"/>
    </row>
    <row r="1284" spans="4:23" ht="20.25">
      <c r="D1284" s="1586"/>
      <c r="E1284" s="2330"/>
      <c r="F1284" s="2330"/>
      <c r="G1284" s="2434"/>
      <c r="H1284" s="2434"/>
      <c r="I1284" s="2434"/>
      <c r="J1284" s="2330"/>
      <c r="K1284" s="2434"/>
      <c r="L1284" s="2330"/>
      <c r="M1284" s="2434"/>
      <c r="N1284" s="2330"/>
      <c r="O1284" s="2330"/>
      <c r="P1284" s="2330"/>
      <c r="Q1284" s="2435"/>
      <c r="R1284" s="2328" t="s">
        <v>2789</v>
      </c>
      <c r="S1284" s="2435"/>
      <c r="T1284" s="2330"/>
      <c r="U1284" s="2330"/>
      <c r="V1284" s="2330"/>
      <c r="W1284" s="2330"/>
    </row>
    <row r="1285" spans="4:23" ht="20.25">
      <c r="D1285" s="2326"/>
      <c r="E1285" s="2326"/>
      <c r="F1285" s="2326"/>
      <c r="G1285" s="2326"/>
      <c r="H1285" s="2326"/>
      <c r="I1285" s="2326"/>
      <c r="J1285" s="2326"/>
      <c r="K1285" s="2326"/>
      <c r="L1285" s="2326"/>
      <c r="M1285" s="2326"/>
      <c r="N1285" s="2326"/>
      <c r="O1285" s="2326"/>
      <c r="P1285" s="2326"/>
      <c r="Q1285" s="2326"/>
      <c r="R1285" s="2328" t="s">
        <v>2790</v>
      </c>
      <c r="S1285" s="2326"/>
      <c r="T1285" s="2326"/>
      <c r="U1285" s="2326"/>
      <c r="V1285" s="2326"/>
      <c r="W1285" s="2326"/>
    </row>
    <row r="1286" spans="4:23" ht="20.25">
      <c r="D1286" s="2911" t="s">
        <v>2749</v>
      </c>
      <c r="E1286" s="2911"/>
      <c r="F1286" s="2911"/>
      <c r="G1286" s="2911"/>
      <c r="H1286" s="2911"/>
      <c r="I1286" s="2911"/>
      <c r="J1286" s="2911"/>
      <c r="K1286" s="1586"/>
      <c r="L1286" s="1586"/>
      <c r="M1286" s="1586"/>
      <c r="N1286" s="1586"/>
      <c r="O1286" s="1586"/>
      <c r="P1286" s="1586"/>
      <c r="Q1286" s="2314"/>
      <c r="R1286" s="2314"/>
      <c r="S1286" s="2314"/>
      <c r="T1286" s="1586"/>
      <c r="U1286" s="1586"/>
      <c r="V1286" s="1586"/>
      <c r="W1286" s="1586"/>
    </row>
    <row r="1287" spans="4:23" ht="15">
      <c r="D1287" s="1586"/>
      <c r="E1287" s="1586"/>
      <c r="F1287" s="1586"/>
      <c r="G1287" s="1586"/>
      <c r="H1287" s="1586"/>
      <c r="I1287" s="1586"/>
      <c r="J1287" s="1586"/>
      <c r="K1287" s="1586"/>
      <c r="L1287" s="1586"/>
      <c r="M1287" s="1586"/>
      <c r="N1287" s="1586"/>
      <c r="O1287" s="1586"/>
      <c r="P1287" s="1586"/>
      <c r="Q1287" s="2314"/>
      <c r="R1287" s="2314"/>
      <c r="S1287" s="2314"/>
      <c r="T1287" s="1586"/>
      <c r="U1287" s="1586"/>
      <c r="V1287" s="1586"/>
      <c r="W1287" s="1586"/>
    </row>
    <row r="1288" spans="4:23" ht="15">
      <c r="D1288" s="2912" t="s">
        <v>653</v>
      </c>
      <c r="E1288" s="2914"/>
      <c r="F1288" s="2914"/>
      <c r="G1288" s="1586"/>
      <c r="H1288" s="2315">
        <v>2020</v>
      </c>
      <c r="I1288" s="1586"/>
      <c r="J1288" s="1586"/>
      <c r="K1288" s="1586"/>
      <c r="L1288" s="1586"/>
      <c r="M1288" s="1586"/>
      <c r="N1288" s="1586"/>
      <c r="O1288" s="1586"/>
      <c r="P1288" s="1586"/>
      <c r="Q1288" s="2314"/>
      <c r="R1288" s="2314"/>
      <c r="S1288" s="2314"/>
      <c r="T1288" s="1586"/>
      <c r="U1288" s="1586"/>
      <c r="V1288" s="1586"/>
      <c r="W1288" s="1586"/>
    </row>
    <row r="1289" spans="4:23" ht="15">
      <c r="D1289" s="1586"/>
      <c r="E1289" s="1586"/>
      <c r="F1289" s="1586"/>
      <c r="G1289" s="1586"/>
      <c r="H1289" s="1586"/>
      <c r="I1289" s="1586"/>
      <c r="J1289" s="1586"/>
      <c r="K1289" s="1586"/>
      <c r="L1289" s="1586"/>
      <c r="M1289" s="1586"/>
      <c r="N1289" s="1586"/>
      <c r="O1289" s="1586"/>
      <c r="P1289" s="1586"/>
      <c r="Q1289" s="2314"/>
      <c r="R1289" s="2314"/>
      <c r="S1289" s="2314"/>
      <c r="T1289" s="1586"/>
      <c r="U1289" s="1586"/>
      <c r="V1289" s="1586"/>
      <c r="W1289" s="1586"/>
    </row>
    <row r="1290" spans="4:23" ht="15">
      <c r="D1290" s="2912" t="s">
        <v>655</v>
      </c>
      <c r="E1290" s="2914"/>
      <c r="F1290" s="2914"/>
      <c r="G1290" s="1586"/>
      <c r="H1290" s="2913" t="s">
        <v>3131</v>
      </c>
      <c r="I1290" s="2914"/>
      <c r="J1290" s="2914"/>
      <c r="K1290" s="2914"/>
      <c r="L1290" s="2914"/>
      <c r="M1290" s="1586"/>
      <c r="N1290" s="1586"/>
      <c r="O1290" s="1586"/>
      <c r="P1290" s="1586"/>
      <c r="Q1290" s="2314"/>
      <c r="R1290" s="2314"/>
      <c r="S1290" s="2314"/>
      <c r="T1290" s="1586"/>
      <c r="U1290" s="1586"/>
      <c r="V1290" s="1586"/>
      <c r="W1290" s="1586"/>
    </row>
    <row r="1291" spans="4:23" ht="15">
      <c r="D1291" s="1586"/>
      <c r="E1291" s="1586"/>
      <c r="F1291" s="1586"/>
      <c r="G1291" s="1586"/>
      <c r="H1291" s="1586"/>
      <c r="I1291" s="1586"/>
      <c r="J1291" s="1586"/>
      <c r="K1291" s="1586"/>
      <c r="L1291" s="1586"/>
      <c r="M1291" s="1586"/>
      <c r="N1291" s="1586"/>
      <c r="O1291" s="1586"/>
      <c r="P1291" s="1586"/>
      <c r="Q1291" s="2314"/>
      <c r="R1291" s="2314"/>
      <c r="S1291" s="2314"/>
      <c r="T1291" s="1586"/>
      <c r="U1291" s="1586"/>
      <c r="V1291" s="1586"/>
      <c r="W1291" s="1586"/>
    </row>
    <row r="1292" spans="4:23" ht="78.75">
      <c r="D1292" s="2316"/>
      <c r="E1292" s="2266" t="s">
        <v>657</v>
      </c>
      <c r="F1292" s="2893" t="s">
        <v>587</v>
      </c>
      <c r="G1292" s="2909"/>
      <c r="H1292" s="2909"/>
      <c r="I1292" s="2910"/>
      <c r="J1292" s="2893" t="s">
        <v>2751</v>
      </c>
      <c r="K1292" s="2910"/>
      <c r="L1292" s="2893" t="s">
        <v>2752</v>
      </c>
      <c r="M1292" s="2910"/>
      <c r="N1292" s="2266" t="s">
        <v>2753</v>
      </c>
      <c r="O1292" s="2266" t="s">
        <v>2754</v>
      </c>
      <c r="P1292" s="2266" t="s">
        <v>2755</v>
      </c>
      <c r="Q1292" s="2267" t="s">
        <v>2756</v>
      </c>
      <c r="R1292" s="2267" t="s">
        <v>2757</v>
      </c>
      <c r="S1292" s="2267" t="s">
        <v>2758</v>
      </c>
      <c r="T1292" s="2266" t="s">
        <v>623</v>
      </c>
      <c r="U1292" s="2266" t="s">
        <v>2759</v>
      </c>
      <c r="V1292" s="2266" t="s">
        <v>2760</v>
      </c>
      <c r="W1292" s="2266" t="s">
        <v>2761</v>
      </c>
    </row>
    <row r="1293" spans="4:23" ht="45">
      <c r="D1293" s="2316"/>
      <c r="E1293" s="2268">
        <v>1</v>
      </c>
      <c r="F1293" s="2882" t="s">
        <v>3132</v>
      </c>
      <c r="G1293" s="2905"/>
      <c r="H1293" s="2905"/>
      <c r="I1293" s="2906"/>
      <c r="J1293" s="2882" t="s">
        <v>1787</v>
      </c>
      <c r="K1293" s="2906"/>
      <c r="L1293" s="2882" t="s">
        <v>2762</v>
      </c>
      <c r="M1293" s="2906"/>
      <c r="N1293" s="2268" t="s">
        <v>2763</v>
      </c>
      <c r="O1293" s="2268" t="s">
        <v>2764</v>
      </c>
      <c r="P1293" s="2268" t="s">
        <v>2765</v>
      </c>
      <c r="Q1293" s="2269">
        <v>100000</v>
      </c>
      <c r="R1293" s="2270" t="s">
        <v>2766</v>
      </c>
      <c r="S1293" s="2270">
        <v>100000</v>
      </c>
      <c r="T1293" s="2268"/>
      <c r="U1293" s="2268" t="s">
        <v>2863</v>
      </c>
      <c r="V1293" s="2268" t="s">
        <v>2768</v>
      </c>
      <c r="W1293" s="2268"/>
    </row>
    <row r="1294" spans="4:23" ht="30">
      <c r="D1294" s="2316"/>
      <c r="E1294" s="2271" t="s">
        <v>676</v>
      </c>
      <c r="F1294" s="2888" t="s">
        <v>676</v>
      </c>
      <c r="G1294" s="2907"/>
      <c r="H1294" s="2907"/>
      <c r="I1294" s="2908"/>
      <c r="J1294" s="2888" t="s">
        <v>676</v>
      </c>
      <c r="K1294" s="2908"/>
      <c r="L1294" s="2888" t="s">
        <v>676</v>
      </c>
      <c r="M1294" s="2908"/>
      <c r="N1294" s="2271" t="s">
        <v>676</v>
      </c>
      <c r="O1294" s="2271" t="s">
        <v>676</v>
      </c>
      <c r="P1294" s="2271" t="s">
        <v>676</v>
      </c>
      <c r="Q1294" s="2272" t="s">
        <v>676</v>
      </c>
      <c r="R1294" s="2270" t="s">
        <v>2769</v>
      </c>
      <c r="S1294" s="2270">
        <v>0</v>
      </c>
      <c r="T1294" s="2271" t="s">
        <v>676</v>
      </c>
      <c r="U1294" s="2271" t="s">
        <v>676</v>
      </c>
      <c r="V1294" s="2271" t="s">
        <v>676</v>
      </c>
      <c r="W1294" s="2271" t="s">
        <v>676</v>
      </c>
    </row>
    <row r="1295" spans="4:23" ht="30">
      <c r="D1295" s="2316"/>
      <c r="E1295" s="2271" t="s">
        <v>676</v>
      </c>
      <c r="F1295" s="2891" t="s">
        <v>676</v>
      </c>
      <c r="G1295" s="2907"/>
      <c r="H1295" s="2907"/>
      <c r="I1295" s="2908"/>
      <c r="J1295" s="2892" t="s">
        <v>676</v>
      </c>
      <c r="K1295" s="2907"/>
      <c r="L1295" s="2888" t="s">
        <v>676</v>
      </c>
      <c r="M1295" s="2908"/>
      <c r="N1295" s="2271" t="s">
        <v>676</v>
      </c>
      <c r="O1295" s="2271" t="s">
        <v>676</v>
      </c>
      <c r="P1295" s="2271" t="s">
        <v>676</v>
      </c>
      <c r="Q1295" s="2272" t="s">
        <v>676</v>
      </c>
      <c r="R1295" s="2270" t="s">
        <v>2770</v>
      </c>
      <c r="S1295" s="2270">
        <v>0</v>
      </c>
      <c r="T1295" s="2271" t="s">
        <v>676</v>
      </c>
      <c r="U1295" s="2271" t="s">
        <v>676</v>
      </c>
      <c r="V1295" s="2271" t="s">
        <v>676</v>
      </c>
      <c r="W1295" s="2271" t="s">
        <v>676</v>
      </c>
    </row>
    <row r="1296" spans="4:23" ht="45">
      <c r="D1296" s="2316"/>
      <c r="E1296" s="2268">
        <v>2</v>
      </c>
      <c r="F1296" s="2882" t="s">
        <v>1211</v>
      </c>
      <c r="G1296" s="2905"/>
      <c r="H1296" s="2905"/>
      <c r="I1296" s="2906"/>
      <c r="J1296" s="2882" t="s">
        <v>3133</v>
      </c>
      <c r="K1296" s="2906"/>
      <c r="L1296" s="2882" t="s">
        <v>2762</v>
      </c>
      <c r="M1296" s="2906"/>
      <c r="N1296" s="2268" t="s">
        <v>2763</v>
      </c>
      <c r="O1296" s="2268" t="s">
        <v>2775</v>
      </c>
      <c r="P1296" s="2268" t="s">
        <v>2765</v>
      </c>
      <c r="Q1296" s="2269">
        <v>100000</v>
      </c>
      <c r="R1296" s="2270" t="s">
        <v>2766</v>
      </c>
      <c r="S1296" s="2270">
        <v>100000</v>
      </c>
      <c r="T1296" s="2268"/>
      <c r="U1296" s="2268" t="s">
        <v>2767</v>
      </c>
      <c r="V1296" s="2268" t="s">
        <v>2768</v>
      </c>
      <c r="W1296" s="2268"/>
    </row>
    <row r="1297" spans="4:23" ht="30">
      <c r="D1297" s="2316"/>
      <c r="E1297" s="2271" t="s">
        <v>676</v>
      </c>
      <c r="F1297" s="2888" t="s">
        <v>676</v>
      </c>
      <c r="G1297" s="2907"/>
      <c r="H1297" s="2907"/>
      <c r="I1297" s="2908"/>
      <c r="J1297" s="2888" t="s">
        <v>676</v>
      </c>
      <c r="K1297" s="2908"/>
      <c r="L1297" s="2888" t="s">
        <v>676</v>
      </c>
      <c r="M1297" s="2908"/>
      <c r="N1297" s="2271" t="s">
        <v>676</v>
      </c>
      <c r="O1297" s="2271" t="s">
        <v>676</v>
      </c>
      <c r="P1297" s="2271" t="s">
        <v>676</v>
      </c>
      <c r="Q1297" s="2272" t="s">
        <v>676</v>
      </c>
      <c r="R1297" s="2270" t="s">
        <v>2769</v>
      </c>
      <c r="S1297" s="2270">
        <v>0</v>
      </c>
      <c r="T1297" s="2271" t="s">
        <v>676</v>
      </c>
      <c r="U1297" s="2271" t="s">
        <v>676</v>
      </c>
      <c r="V1297" s="2271" t="s">
        <v>676</v>
      </c>
      <c r="W1297" s="2271" t="s">
        <v>676</v>
      </c>
    </row>
    <row r="1298" spans="4:23" ht="30">
      <c r="D1298" s="2316"/>
      <c r="E1298" s="2271" t="s">
        <v>676</v>
      </c>
      <c r="F1298" s="2891" t="s">
        <v>676</v>
      </c>
      <c r="G1298" s="2907"/>
      <c r="H1298" s="2907"/>
      <c r="I1298" s="2908"/>
      <c r="J1298" s="2892" t="s">
        <v>676</v>
      </c>
      <c r="K1298" s="2907"/>
      <c r="L1298" s="2888" t="s">
        <v>676</v>
      </c>
      <c r="M1298" s="2908"/>
      <c r="N1298" s="2271" t="s">
        <v>676</v>
      </c>
      <c r="O1298" s="2271" t="s">
        <v>676</v>
      </c>
      <c r="P1298" s="2271" t="s">
        <v>676</v>
      </c>
      <c r="Q1298" s="2272" t="s">
        <v>676</v>
      </c>
      <c r="R1298" s="2270" t="s">
        <v>2770</v>
      </c>
      <c r="S1298" s="2270">
        <v>0</v>
      </c>
      <c r="T1298" s="2271" t="s">
        <v>676</v>
      </c>
      <c r="U1298" s="2271" t="s">
        <v>676</v>
      </c>
      <c r="V1298" s="2271" t="s">
        <v>676</v>
      </c>
      <c r="W1298" s="2271" t="s">
        <v>676</v>
      </c>
    </row>
    <row r="1299" spans="4:23" ht="45">
      <c r="D1299" s="2316"/>
      <c r="E1299" s="2268">
        <v>3</v>
      </c>
      <c r="F1299" s="2882" t="s">
        <v>3134</v>
      </c>
      <c r="G1299" s="2905"/>
      <c r="H1299" s="2905"/>
      <c r="I1299" s="2906"/>
      <c r="J1299" s="2882" t="s">
        <v>3135</v>
      </c>
      <c r="K1299" s="2906"/>
      <c r="L1299" s="2882" t="s">
        <v>2762</v>
      </c>
      <c r="M1299" s="2906"/>
      <c r="N1299" s="2268" t="s">
        <v>2763</v>
      </c>
      <c r="O1299" s="2268" t="s">
        <v>2764</v>
      </c>
      <c r="P1299" s="2268" t="s">
        <v>2765</v>
      </c>
      <c r="Q1299" s="2269">
        <v>100000</v>
      </c>
      <c r="R1299" s="2270" t="s">
        <v>2766</v>
      </c>
      <c r="S1299" s="2270">
        <v>100000</v>
      </c>
      <c r="T1299" s="2268"/>
      <c r="U1299" s="2268" t="s">
        <v>2767</v>
      </c>
      <c r="V1299" s="2268" t="s">
        <v>2768</v>
      </c>
      <c r="W1299" s="2268"/>
    </row>
    <row r="1300" spans="4:23" ht="30">
      <c r="D1300" s="2316"/>
      <c r="E1300" s="2271" t="s">
        <v>676</v>
      </c>
      <c r="F1300" s="2888" t="s">
        <v>676</v>
      </c>
      <c r="G1300" s="2907"/>
      <c r="H1300" s="2907"/>
      <c r="I1300" s="2908"/>
      <c r="J1300" s="2888" t="s">
        <v>676</v>
      </c>
      <c r="K1300" s="2908"/>
      <c r="L1300" s="2888" t="s">
        <v>676</v>
      </c>
      <c r="M1300" s="2908"/>
      <c r="N1300" s="2271" t="s">
        <v>676</v>
      </c>
      <c r="O1300" s="2271" t="s">
        <v>676</v>
      </c>
      <c r="P1300" s="2271" t="s">
        <v>676</v>
      </c>
      <c r="Q1300" s="2272" t="s">
        <v>676</v>
      </c>
      <c r="R1300" s="2270" t="s">
        <v>2769</v>
      </c>
      <c r="S1300" s="2270">
        <v>0</v>
      </c>
      <c r="T1300" s="2271" t="s">
        <v>676</v>
      </c>
      <c r="U1300" s="2271" t="s">
        <v>676</v>
      </c>
      <c r="V1300" s="2271" t="s">
        <v>676</v>
      </c>
      <c r="W1300" s="2271" t="s">
        <v>676</v>
      </c>
    </row>
    <row r="1301" spans="4:23" ht="30">
      <c r="D1301" s="2316"/>
      <c r="E1301" s="2271" t="s">
        <v>676</v>
      </c>
      <c r="F1301" s="2891" t="s">
        <v>676</v>
      </c>
      <c r="G1301" s="2907"/>
      <c r="H1301" s="2907"/>
      <c r="I1301" s="2908"/>
      <c r="J1301" s="2892" t="s">
        <v>676</v>
      </c>
      <c r="K1301" s="2907"/>
      <c r="L1301" s="2888" t="s">
        <v>676</v>
      </c>
      <c r="M1301" s="2908"/>
      <c r="N1301" s="2271" t="s">
        <v>676</v>
      </c>
      <c r="O1301" s="2271" t="s">
        <v>676</v>
      </c>
      <c r="P1301" s="2271" t="s">
        <v>676</v>
      </c>
      <c r="Q1301" s="2272" t="s">
        <v>676</v>
      </c>
      <c r="R1301" s="2270" t="s">
        <v>2770</v>
      </c>
      <c r="S1301" s="2270">
        <v>0</v>
      </c>
      <c r="T1301" s="2271" t="s">
        <v>676</v>
      </c>
      <c r="U1301" s="2271" t="s">
        <v>676</v>
      </c>
      <c r="V1301" s="2271" t="s">
        <v>676</v>
      </c>
      <c r="W1301" s="2271" t="s">
        <v>676</v>
      </c>
    </row>
    <row r="1302" spans="4:23" ht="45">
      <c r="D1302" s="2316"/>
      <c r="E1302" s="2268">
        <v>4</v>
      </c>
      <c r="F1302" s="2882" t="s">
        <v>3136</v>
      </c>
      <c r="G1302" s="2905"/>
      <c r="H1302" s="2905"/>
      <c r="I1302" s="2906"/>
      <c r="J1302" s="2882" t="s">
        <v>2092</v>
      </c>
      <c r="K1302" s="2906"/>
      <c r="L1302" s="2882" t="s">
        <v>2762</v>
      </c>
      <c r="M1302" s="2906"/>
      <c r="N1302" s="2268" t="s">
        <v>2763</v>
      </c>
      <c r="O1302" s="2268" t="s">
        <v>2775</v>
      </c>
      <c r="P1302" s="2268" t="s">
        <v>2765</v>
      </c>
      <c r="Q1302" s="2269">
        <v>100000</v>
      </c>
      <c r="R1302" s="2270" t="s">
        <v>2766</v>
      </c>
      <c r="S1302" s="2270">
        <v>100000</v>
      </c>
      <c r="T1302" s="2268"/>
      <c r="U1302" s="2268" t="s">
        <v>2767</v>
      </c>
      <c r="V1302" s="2268" t="s">
        <v>2768</v>
      </c>
      <c r="W1302" s="2268"/>
    </row>
    <row r="1303" spans="4:23" ht="30">
      <c r="D1303" s="2316"/>
      <c r="E1303" s="2271" t="s">
        <v>676</v>
      </c>
      <c r="F1303" s="2888" t="s">
        <v>676</v>
      </c>
      <c r="G1303" s="2907"/>
      <c r="H1303" s="2907"/>
      <c r="I1303" s="2908"/>
      <c r="J1303" s="2888" t="s">
        <v>676</v>
      </c>
      <c r="K1303" s="2908"/>
      <c r="L1303" s="2888" t="s">
        <v>676</v>
      </c>
      <c r="M1303" s="2908"/>
      <c r="N1303" s="2271" t="s">
        <v>676</v>
      </c>
      <c r="O1303" s="2271" t="s">
        <v>676</v>
      </c>
      <c r="P1303" s="2271" t="s">
        <v>676</v>
      </c>
      <c r="Q1303" s="2272" t="s">
        <v>676</v>
      </c>
      <c r="R1303" s="2270" t="s">
        <v>2769</v>
      </c>
      <c r="S1303" s="2270">
        <v>0</v>
      </c>
      <c r="T1303" s="2271" t="s">
        <v>676</v>
      </c>
      <c r="U1303" s="2271" t="s">
        <v>676</v>
      </c>
      <c r="V1303" s="2271" t="s">
        <v>676</v>
      </c>
      <c r="W1303" s="2271" t="s">
        <v>676</v>
      </c>
    </row>
    <row r="1304" spans="4:23" ht="30">
      <c r="D1304" s="2316"/>
      <c r="E1304" s="2271" t="s">
        <v>676</v>
      </c>
      <c r="F1304" s="2891" t="s">
        <v>676</v>
      </c>
      <c r="G1304" s="2907"/>
      <c r="H1304" s="2907"/>
      <c r="I1304" s="2908"/>
      <c r="J1304" s="2892" t="s">
        <v>676</v>
      </c>
      <c r="K1304" s="2907"/>
      <c r="L1304" s="2888" t="s">
        <v>676</v>
      </c>
      <c r="M1304" s="2908"/>
      <c r="N1304" s="2271" t="s">
        <v>676</v>
      </c>
      <c r="O1304" s="2271" t="s">
        <v>676</v>
      </c>
      <c r="P1304" s="2271" t="s">
        <v>676</v>
      </c>
      <c r="Q1304" s="2272" t="s">
        <v>676</v>
      </c>
      <c r="R1304" s="2270" t="s">
        <v>2770</v>
      </c>
      <c r="S1304" s="2270">
        <v>0</v>
      </c>
      <c r="T1304" s="2271" t="s">
        <v>676</v>
      </c>
      <c r="U1304" s="2271" t="s">
        <v>676</v>
      </c>
      <c r="V1304" s="2271" t="s">
        <v>676</v>
      </c>
      <c r="W1304" s="2271" t="s">
        <v>676</v>
      </c>
    </row>
    <row r="1305" spans="4:23" ht="45">
      <c r="D1305" s="2316"/>
      <c r="E1305" s="2268">
        <v>5</v>
      </c>
      <c r="F1305" s="2882" t="s">
        <v>1604</v>
      </c>
      <c r="G1305" s="2905"/>
      <c r="H1305" s="2905"/>
      <c r="I1305" s="2906"/>
      <c r="J1305" s="2882" t="s">
        <v>3137</v>
      </c>
      <c r="K1305" s="2906"/>
      <c r="L1305" s="2882" t="s">
        <v>2762</v>
      </c>
      <c r="M1305" s="2906"/>
      <c r="N1305" s="2268" t="s">
        <v>2763</v>
      </c>
      <c r="O1305" s="2268" t="s">
        <v>2775</v>
      </c>
      <c r="P1305" s="2268" t="s">
        <v>2765</v>
      </c>
      <c r="Q1305" s="2269">
        <v>100000</v>
      </c>
      <c r="R1305" s="2270" t="s">
        <v>2766</v>
      </c>
      <c r="S1305" s="2270">
        <v>100000</v>
      </c>
      <c r="T1305" s="2268"/>
      <c r="U1305" s="2268" t="s">
        <v>2767</v>
      </c>
      <c r="V1305" s="2268" t="s">
        <v>2768</v>
      </c>
      <c r="W1305" s="2268"/>
    </row>
    <row r="1306" spans="4:23" ht="30">
      <c r="D1306" s="2316"/>
      <c r="E1306" s="2271" t="s">
        <v>676</v>
      </c>
      <c r="F1306" s="2888" t="s">
        <v>676</v>
      </c>
      <c r="G1306" s="2907"/>
      <c r="H1306" s="2907"/>
      <c r="I1306" s="2908"/>
      <c r="J1306" s="2888" t="s">
        <v>676</v>
      </c>
      <c r="K1306" s="2908"/>
      <c r="L1306" s="2888" t="s">
        <v>676</v>
      </c>
      <c r="M1306" s="2908"/>
      <c r="N1306" s="2271" t="s">
        <v>676</v>
      </c>
      <c r="O1306" s="2271" t="s">
        <v>676</v>
      </c>
      <c r="P1306" s="2271" t="s">
        <v>676</v>
      </c>
      <c r="Q1306" s="2272" t="s">
        <v>676</v>
      </c>
      <c r="R1306" s="2270" t="s">
        <v>2769</v>
      </c>
      <c r="S1306" s="2270">
        <v>0</v>
      </c>
      <c r="T1306" s="2271" t="s">
        <v>676</v>
      </c>
      <c r="U1306" s="2271" t="s">
        <v>676</v>
      </c>
      <c r="V1306" s="2271" t="s">
        <v>676</v>
      </c>
      <c r="W1306" s="2271" t="s">
        <v>676</v>
      </c>
    </row>
    <row r="1307" spans="4:23" ht="30">
      <c r="D1307" s="2316"/>
      <c r="E1307" s="2273" t="s">
        <v>676</v>
      </c>
      <c r="F1307" s="2896" t="s">
        <v>676</v>
      </c>
      <c r="G1307" s="2897"/>
      <c r="H1307" s="2897"/>
      <c r="I1307" s="2898"/>
      <c r="J1307" s="2899" t="s">
        <v>676</v>
      </c>
      <c r="K1307" s="2897"/>
      <c r="L1307" s="2900" t="s">
        <v>676</v>
      </c>
      <c r="M1307" s="2898"/>
      <c r="N1307" s="2273" t="s">
        <v>676</v>
      </c>
      <c r="O1307" s="2273" t="s">
        <v>676</v>
      </c>
      <c r="P1307" s="2273" t="s">
        <v>676</v>
      </c>
      <c r="Q1307" s="2274" t="s">
        <v>676</v>
      </c>
      <c r="R1307" s="2270" t="s">
        <v>2770</v>
      </c>
      <c r="S1307" s="2270">
        <v>0</v>
      </c>
      <c r="T1307" s="2273" t="s">
        <v>676</v>
      </c>
      <c r="U1307" s="2273" t="s">
        <v>676</v>
      </c>
      <c r="V1307" s="2273" t="s">
        <v>676</v>
      </c>
      <c r="W1307" s="2273" t="s">
        <v>676</v>
      </c>
    </row>
    <row r="1308" spans="4:23" ht="30">
      <c r="D1308" s="1586"/>
      <c r="E1308" s="2429"/>
      <c r="F1308" s="2430" t="s">
        <v>3138</v>
      </c>
      <c r="G1308" s="2431"/>
      <c r="H1308" s="2431"/>
      <c r="I1308" s="2431"/>
      <c r="J1308" s="2430"/>
      <c r="K1308" s="2431"/>
      <c r="L1308" s="2430"/>
      <c r="M1308" s="2431"/>
      <c r="N1308" s="2430"/>
      <c r="O1308" s="2430"/>
      <c r="P1308" s="2430"/>
      <c r="Q1308" s="2432">
        <f>SUM(Q1293:Q1307)</f>
        <v>500000</v>
      </c>
      <c r="R1308" s="2432"/>
      <c r="S1308" s="2432">
        <f>SUM(S1293:S1307)</f>
        <v>500000</v>
      </c>
      <c r="T1308" s="2430"/>
      <c r="U1308" s="2430"/>
      <c r="V1308" s="2430"/>
      <c r="W1308" s="2433"/>
    </row>
    <row r="1309" spans="4:23" ht="20.25">
      <c r="D1309" s="1586"/>
      <c r="E1309" s="2330"/>
      <c r="F1309" s="2330"/>
      <c r="G1309" s="2434"/>
      <c r="H1309" s="2434"/>
      <c r="I1309" s="2434"/>
      <c r="J1309" s="2330"/>
      <c r="K1309" s="2434"/>
      <c r="L1309" s="2330"/>
      <c r="M1309" s="2434"/>
      <c r="N1309" s="2330"/>
      <c r="O1309" s="2330"/>
      <c r="P1309" s="2330"/>
      <c r="Q1309" s="2435"/>
      <c r="R1309" s="2328" t="s">
        <v>2789</v>
      </c>
      <c r="S1309" s="2435"/>
      <c r="T1309" s="2330"/>
      <c r="U1309" s="2330"/>
      <c r="V1309" s="2330"/>
      <c r="W1309" s="2330"/>
    </row>
    <row r="1310" spans="4:23" ht="20.25">
      <c r="D1310" s="1586"/>
      <c r="E1310" s="2330"/>
      <c r="F1310" s="2330"/>
      <c r="G1310" s="2434"/>
      <c r="H1310" s="2434"/>
      <c r="I1310" s="2434"/>
      <c r="J1310" s="2330"/>
      <c r="K1310" s="2434"/>
      <c r="L1310" s="2330"/>
      <c r="M1310" s="2434"/>
      <c r="N1310" s="2330"/>
      <c r="O1310" s="2330"/>
      <c r="P1310" s="2330"/>
      <c r="Q1310" s="2435"/>
      <c r="R1310" s="2328" t="s">
        <v>2790</v>
      </c>
      <c r="S1310" s="2435"/>
      <c r="T1310" s="2330"/>
      <c r="U1310" s="2330"/>
      <c r="V1310" s="2330"/>
      <c r="W1310" s="2330"/>
    </row>
    <row r="1311" spans="4:23" ht="15">
      <c r="D1311" s="2359"/>
      <c r="E1311" s="2359"/>
      <c r="F1311" s="2360"/>
      <c r="G1311" s="2359"/>
      <c r="H1311" s="2359"/>
      <c r="I1311" s="2359"/>
      <c r="J1311" s="2359"/>
      <c r="K1311" s="2360"/>
      <c r="L1311" s="2326"/>
      <c r="M1311" s="2360"/>
      <c r="N1311" s="2359"/>
      <c r="O1311" s="2359"/>
      <c r="P1311" s="2359"/>
      <c r="Q1311" s="2326"/>
      <c r="R1311" s="2326"/>
      <c r="S1311" s="2326"/>
      <c r="T1311" s="2359"/>
      <c r="U1311" s="2359"/>
      <c r="V1311" s="2359"/>
      <c r="W1311" s="2359"/>
    </row>
    <row r="1312" spans="4:23" ht="20.25">
      <c r="D1312" s="2911" t="s">
        <v>2749</v>
      </c>
      <c r="E1312" s="2911"/>
      <c r="F1312" s="2911"/>
      <c r="G1312" s="2911"/>
      <c r="H1312" s="2911"/>
      <c r="I1312" s="2911"/>
      <c r="J1312" s="2911"/>
      <c r="K1312" s="1586"/>
      <c r="L1312" s="1586"/>
      <c r="M1312" s="1586"/>
      <c r="N1312" s="1586"/>
      <c r="O1312" s="1586"/>
      <c r="P1312" s="1586"/>
      <c r="Q1312" s="2314"/>
      <c r="R1312" s="2314"/>
      <c r="S1312" s="2314"/>
      <c r="T1312" s="1586"/>
      <c r="U1312" s="1586"/>
      <c r="V1312" s="1586"/>
      <c r="W1312" s="1586"/>
    </row>
    <row r="1313" spans="4:23" ht="15">
      <c r="D1313" s="1586"/>
      <c r="E1313" s="1586"/>
      <c r="F1313" s="1586"/>
      <c r="G1313" s="1586"/>
      <c r="H1313" s="1586"/>
      <c r="I1313" s="1586"/>
      <c r="J1313" s="1586"/>
      <c r="K1313" s="1586"/>
      <c r="L1313" s="1586"/>
      <c r="M1313" s="1586"/>
      <c r="N1313" s="1586"/>
      <c r="O1313" s="1586"/>
      <c r="P1313" s="1586"/>
      <c r="Q1313" s="2314"/>
      <c r="R1313" s="2314"/>
      <c r="S1313" s="2314"/>
      <c r="T1313" s="1586"/>
      <c r="U1313" s="1586"/>
      <c r="V1313" s="1586"/>
      <c r="W1313" s="1586"/>
    </row>
    <row r="1314" spans="4:23" ht="15.75">
      <c r="D1314" s="2912" t="s">
        <v>653</v>
      </c>
      <c r="E1314" s="2912"/>
      <c r="F1314" s="2912"/>
      <c r="G1314" s="1586"/>
      <c r="H1314" s="2315">
        <v>2020</v>
      </c>
      <c r="I1314" s="1586"/>
      <c r="J1314" s="1586"/>
      <c r="K1314" s="1586"/>
      <c r="L1314" s="1586"/>
      <c r="M1314" s="1586"/>
      <c r="N1314" s="1586"/>
      <c r="O1314" s="1586"/>
      <c r="P1314" s="1586"/>
      <c r="Q1314" s="2314"/>
      <c r="R1314" s="2314"/>
      <c r="S1314" s="2314"/>
      <c r="T1314" s="1586"/>
      <c r="U1314" s="1586"/>
      <c r="V1314" s="1586"/>
      <c r="W1314" s="1586"/>
    </row>
    <row r="1315" spans="4:23" ht="15">
      <c r="D1315" s="1586"/>
      <c r="E1315" s="1586"/>
      <c r="F1315" s="1586"/>
      <c r="G1315" s="1586"/>
      <c r="H1315" s="1586"/>
      <c r="I1315" s="1586"/>
      <c r="J1315" s="1586"/>
      <c r="K1315" s="1586"/>
      <c r="L1315" s="1586"/>
      <c r="M1315" s="1586"/>
      <c r="N1315" s="1586"/>
      <c r="O1315" s="1586"/>
      <c r="P1315" s="1586"/>
      <c r="Q1315" s="2314"/>
      <c r="R1315" s="2314"/>
      <c r="S1315" s="2314"/>
      <c r="T1315" s="1586"/>
      <c r="U1315" s="1586"/>
      <c r="V1315" s="1586"/>
      <c r="W1315" s="1586"/>
    </row>
    <row r="1316" spans="4:23" ht="15.75">
      <c r="D1316" s="2912" t="s">
        <v>655</v>
      </c>
      <c r="E1316" s="2912"/>
      <c r="F1316" s="2912"/>
      <c r="G1316" s="1586"/>
      <c r="H1316" s="2913" t="s">
        <v>3139</v>
      </c>
      <c r="I1316" s="2914"/>
      <c r="J1316" s="2914"/>
      <c r="K1316" s="2914"/>
      <c r="L1316" s="2914"/>
      <c r="M1316" s="1586"/>
      <c r="N1316" s="1586"/>
      <c r="O1316" s="1586"/>
      <c r="P1316" s="1586"/>
      <c r="Q1316" s="2314"/>
      <c r="R1316" s="2314"/>
      <c r="S1316" s="2314"/>
      <c r="T1316" s="1586"/>
      <c r="U1316" s="1586"/>
      <c r="V1316" s="1586"/>
      <c r="W1316" s="1586"/>
    </row>
    <row r="1317" spans="4:23" ht="15">
      <c r="D1317" s="1586"/>
      <c r="E1317" s="1586"/>
      <c r="F1317" s="1586"/>
      <c r="G1317" s="1586"/>
      <c r="H1317" s="1586"/>
      <c r="I1317" s="1586"/>
      <c r="J1317" s="1586"/>
      <c r="K1317" s="1586"/>
      <c r="L1317" s="1586"/>
      <c r="M1317" s="1586"/>
      <c r="N1317" s="1586"/>
      <c r="O1317" s="1586"/>
      <c r="P1317" s="1586"/>
      <c r="Q1317" s="2314"/>
      <c r="R1317" s="2314"/>
      <c r="S1317" s="2314"/>
      <c r="T1317" s="1586"/>
      <c r="U1317" s="1586"/>
      <c r="V1317" s="1586"/>
      <c r="W1317" s="1586"/>
    </row>
    <row r="1318" spans="4:23" ht="78.75">
      <c r="D1318" s="2316"/>
      <c r="E1318" s="2266" t="s">
        <v>657</v>
      </c>
      <c r="F1318" s="2893" t="s">
        <v>587</v>
      </c>
      <c r="G1318" s="2909"/>
      <c r="H1318" s="2909"/>
      <c r="I1318" s="2910"/>
      <c r="J1318" s="2893" t="s">
        <v>2751</v>
      </c>
      <c r="K1318" s="2910"/>
      <c r="L1318" s="2893" t="s">
        <v>2752</v>
      </c>
      <c r="M1318" s="2910"/>
      <c r="N1318" s="2266" t="s">
        <v>2753</v>
      </c>
      <c r="O1318" s="2266" t="s">
        <v>2754</v>
      </c>
      <c r="P1318" s="2266" t="s">
        <v>2755</v>
      </c>
      <c r="Q1318" s="2267" t="s">
        <v>2756</v>
      </c>
      <c r="R1318" s="2267" t="s">
        <v>2757</v>
      </c>
      <c r="S1318" s="2267" t="s">
        <v>2758</v>
      </c>
      <c r="T1318" s="2266" t="s">
        <v>623</v>
      </c>
      <c r="U1318" s="2266" t="s">
        <v>2759</v>
      </c>
      <c r="V1318" s="2266" t="s">
        <v>2760</v>
      </c>
      <c r="W1318" s="2266" t="s">
        <v>2761</v>
      </c>
    </row>
    <row r="1319" spans="4:23" ht="45">
      <c r="D1319" s="2316"/>
      <c r="E1319" s="2268">
        <v>1</v>
      </c>
      <c r="F1319" s="2882" t="s">
        <v>3140</v>
      </c>
      <c r="G1319" s="2905"/>
      <c r="H1319" s="2905"/>
      <c r="I1319" s="2906"/>
      <c r="J1319" s="2882" t="s">
        <v>2781</v>
      </c>
      <c r="K1319" s="2906"/>
      <c r="L1319" s="2882" t="s">
        <v>2762</v>
      </c>
      <c r="M1319" s="2906"/>
      <c r="N1319" s="2268" t="s">
        <v>2763</v>
      </c>
      <c r="O1319" s="2268" t="s">
        <v>2764</v>
      </c>
      <c r="P1319" s="2268" t="s">
        <v>2776</v>
      </c>
      <c r="Q1319" s="2269">
        <v>180000</v>
      </c>
      <c r="R1319" s="2270" t="s">
        <v>2766</v>
      </c>
      <c r="S1319" s="2270">
        <v>180000</v>
      </c>
      <c r="T1319" s="2268" t="s">
        <v>688</v>
      </c>
      <c r="U1319" s="2268" t="s">
        <v>2932</v>
      </c>
      <c r="V1319" s="2268" t="s">
        <v>2768</v>
      </c>
      <c r="W1319" s="2268"/>
    </row>
    <row r="1320" spans="4:23" ht="30">
      <c r="D1320" s="2316"/>
      <c r="E1320" s="2271" t="s">
        <v>676</v>
      </c>
      <c r="F1320" s="2888" t="s">
        <v>676</v>
      </c>
      <c r="G1320" s="2907"/>
      <c r="H1320" s="2907"/>
      <c r="I1320" s="2908"/>
      <c r="J1320" s="2888" t="s">
        <v>676</v>
      </c>
      <c r="K1320" s="2908"/>
      <c r="L1320" s="2888" t="s">
        <v>676</v>
      </c>
      <c r="M1320" s="2908"/>
      <c r="N1320" s="2271" t="s">
        <v>676</v>
      </c>
      <c r="O1320" s="2271" t="s">
        <v>676</v>
      </c>
      <c r="P1320" s="2271" t="s">
        <v>676</v>
      </c>
      <c r="Q1320" s="2272" t="s">
        <v>676</v>
      </c>
      <c r="R1320" s="2270" t="s">
        <v>2769</v>
      </c>
      <c r="S1320" s="2270">
        <v>0</v>
      </c>
      <c r="T1320" s="2271" t="s">
        <v>676</v>
      </c>
      <c r="U1320" s="2271" t="s">
        <v>676</v>
      </c>
      <c r="V1320" s="2271" t="s">
        <v>676</v>
      </c>
      <c r="W1320" s="2271" t="s">
        <v>676</v>
      </c>
    </row>
    <row r="1321" spans="4:23" ht="30">
      <c r="D1321" s="2316"/>
      <c r="E1321" s="2271" t="s">
        <v>676</v>
      </c>
      <c r="F1321" s="2891" t="s">
        <v>676</v>
      </c>
      <c r="G1321" s="2907"/>
      <c r="H1321" s="2907"/>
      <c r="I1321" s="2908"/>
      <c r="J1321" s="2892" t="s">
        <v>676</v>
      </c>
      <c r="K1321" s="2907"/>
      <c r="L1321" s="2888" t="s">
        <v>676</v>
      </c>
      <c r="M1321" s="2908"/>
      <c r="N1321" s="2271" t="s">
        <v>676</v>
      </c>
      <c r="O1321" s="2271" t="s">
        <v>676</v>
      </c>
      <c r="P1321" s="2271" t="s">
        <v>676</v>
      </c>
      <c r="Q1321" s="2272" t="s">
        <v>676</v>
      </c>
      <c r="R1321" s="2270" t="s">
        <v>2770</v>
      </c>
      <c r="S1321" s="2270">
        <v>0</v>
      </c>
      <c r="T1321" s="2271" t="s">
        <v>676</v>
      </c>
      <c r="U1321" s="2271" t="s">
        <v>676</v>
      </c>
      <c r="V1321" s="2271" t="s">
        <v>676</v>
      </c>
      <c r="W1321" s="2271" t="s">
        <v>676</v>
      </c>
    </row>
    <row r="1322" spans="4:23" ht="45">
      <c r="D1322" s="2316"/>
      <c r="E1322" s="2268">
        <v>2</v>
      </c>
      <c r="F1322" s="2882" t="s">
        <v>3141</v>
      </c>
      <c r="G1322" s="2905"/>
      <c r="H1322" s="2905"/>
      <c r="I1322" s="2906"/>
      <c r="J1322" s="2882" t="s">
        <v>2160</v>
      </c>
      <c r="K1322" s="2906"/>
      <c r="L1322" s="2882" t="s">
        <v>2762</v>
      </c>
      <c r="M1322" s="2906"/>
      <c r="N1322" s="2268" t="s">
        <v>2763</v>
      </c>
      <c r="O1322" s="2268" t="s">
        <v>2775</v>
      </c>
      <c r="P1322" s="2268" t="s">
        <v>2776</v>
      </c>
      <c r="Q1322" s="2269">
        <v>150000</v>
      </c>
      <c r="R1322" s="2270" t="s">
        <v>2766</v>
      </c>
      <c r="S1322" s="2270">
        <v>150000</v>
      </c>
      <c r="T1322" s="2268" t="s">
        <v>688</v>
      </c>
      <c r="U1322" s="2268" t="s">
        <v>2932</v>
      </c>
      <c r="V1322" s="2268" t="s">
        <v>2768</v>
      </c>
      <c r="W1322" s="2268"/>
    </row>
    <row r="1323" spans="4:23" ht="30">
      <c r="D1323" s="2316"/>
      <c r="E1323" s="2271" t="s">
        <v>676</v>
      </c>
      <c r="F1323" s="2888" t="s">
        <v>676</v>
      </c>
      <c r="G1323" s="2907"/>
      <c r="H1323" s="2907"/>
      <c r="I1323" s="2908"/>
      <c r="J1323" s="2888" t="s">
        <v>676</v>
      </c>
      <c r="K1323" s="2908"/>
      <c r="L1323" s="2888" t="s">
        <v>676</v>
      </c>
      <c r="M1323" s="2908"/>
      <c r="N1323" s="2271" t="s">
        <v>676</v>
      </c>
      <c r="O1323" s="2271" t="s">
        <v>676</v>
      </c>
      <c r="P1323" s="2271" t="s">
        <v>676</v>
      </c>
      <c r="Q1323" s="2272" t="s">
        <v>676</v>
      </c>
      <c r="R1323" s="2270" t="s">
        <v>2769</v>
      </c>
      <c r="S1323" s="2270">
        <v>0</v>
      </c>
      <c r="T1323" s="2271" t="s">
        <v>676</v>
      </c>
      <c r="U1323" s="2271" t="s">
        <v>676</v>
      </c>
      <c r="V1323" s="2271" t="s">
        <v>676</v>
      </c>
      <c r="W1323" s="2271" t="s">
        <v>676</v>
      </c>
    </row>
    <row r="1324" spans="4:23" ht="30">
      <c r="D1324" s="2316"/>
      <c r="E1324" s="2273" t="s">
        <v>676</v>
      </c>
      <c r="F1324" s="2896" t="s">
        <v>676</v>
      </c>
      <c r="G1324" s="2897"/>
      <c r="H1324" s="2897"/>
      <c r="I1324" s="2898"/>
      <c r="J1324" s="2899" t="s">
        <v>676</v>
      </c>
      <c r="K1324" s="2897"/>
      <c r="L1324" s="2900" t="s">
        <v>676</v>
      </c>
      <c r="M1324" s="2898"/>
      <c r="N1324" s="2273" t="s">
        <v>676</v>
      </c>
      <c r="O1324" s="2273" t="s">
        <v>676</v>
      </c>
      <c r="P1324" s="2273" t="s">
        <v>676</v>
      </c>
      <c r="Q1324" s="2274" t="s">
        <v>676</v>
      </c>
      <c r="R1324" s="2270" t="s">
        <v>2770</v>
      </c>
      <c r="S1324" s="2270">
        <v>0</v>
      </c>
      <c r="T1324" s="2273" t="s">
        <v>676</v>
      </c>
      <c r="U1324" s="2273" t="s">
        <v>676</v>
      </c>
      <c r="V1324" s="2273" t="s">
        <v>676</v>
      </c>
      <c r="W1324" s="2273" t="s">
        <v>676</v>
      </c>
    </row>
    <row r="1325" spans="4:23" ht="30">
      <c r="D1325" s="2359"/>
      <c r="E1325" s="2362"/>
      <c r="F1325" s="2436" t="s">
        <v>82</v>
      </c>
      <c r="G1325" s="2437"/>
      <c r="H1325" s="2338"/>
      <c r="I1325" s="2338"/>
      <c r="J1325" s="2338"/>
      <c r="K1325" s="2338"/>
      <c r="L1325" s="2438"/>
      <c r="M1325" s="2438"/>
      <c r="N1325" s="2438"/>
      <c r="O1325" s="2338"/>
      <c r="P1325" s="2338"/>
      <c r="Q1325" s="2365">
        <f>SUM(Q1319:Q1324)</f>
        <v>330000</v>
      </c>
      <c r="R1325" s="2365"/>
      <c r="S1325" s="2365">
        <f>SUM(S1319:S1324)</f>
        <v>330000</v>
      </c>
      <c r="T1325" s="2337"/>
      <c r="U1325" s="2337"/>
      <c r="V1325" s="2337"/>
      <c r="W1325" s="2342"/>
    </row>
    <row r="1326" spans="4:23" ht="20.25">
      <c r="D1326" s="2326"/>
      <c r="E1326" s="2324"/>
      <c r="F1326" s="2325"/>
      <c r="G1326" s="2324"/>
      <c r="H1326" s="2324"/>
      <c r="I1326" s="2325"/>
      <c r="J1326" s="2324"/>
      <c r="K1326" s="2324"/>
      <c r="L1326" s="2324"/>
      <c r="M1326" s="2324"/>
      <c r="N1326" s="2326"/>
      <c r="O1326" s="2326"/>
      <c r="P1326" s="2326"/>
      <c r="Q1326" s="2326"/>
      <c r="R1326" s="2328" t="s">
        <v>2789</v>
      </c>
      <c r="S1326" s="2326"/>
      <c r="T1326" s="2326"/>
      <c r="U1326" s="2326"/>
      <c r="V1326" s="2326"/>
      <c r="W1326" s="2326"/>
    </row>
    <row r="1327" spans="4:23" ht="20.25">
      <c r="D1327" s="2326"/>
      <c r="E1327" s="2326"/>
      <c r="F1327" s="2326"/>
      <c r="G1327" s="2326"/>
      <c r="H1327" s="2326"/>
      <c r="I1327" s="2326"/>
      <c r="J1327" s="2326"/>
      <c r="K1327" s="2326"/>
      <c r="L1327" s="2326"/>
      <c r="M1327" s="2326"/>
      <c r="N1327" s="2326"/>
      <c r="O1327" s="2326"/>
      <c r="P1327" s="2326"/>
      <c r="Q1327" s="2326"/>
      <c r="R1327" s="2328" t="s">
        <v>2790</v>
      </c>
      <c r="S1327" s="2326"/>
      <c r="T1327" s="2326"/>
      <c r="U1327" s="2326"/>
      <c r="V1327" s="2326"/>
      <c r="W1327" s="2326"/>
    </row>
    <row r="1328" spans="4:23" ht="20.25">
      <c r="D1328" s="2911" t="s">
        <v>2749</v>
      </c>
      <c r="E1328" s="2911"/>
      <c r="F1328" s="2911"/>
      <c r="G1328" s="2911"/>
      <c r="H1328" s="2911"/>
      <c r="I1328" s="2911"/>
      <c r="J1328" s="2911"/>
      <c r="K1328" s="1586"/>
      <c r="L1328" s="1586"/>
      <c r="M1328" s="1586"/>
      <c r="N1328" s="1586"/>
      <c r="O1328" s="1586"/>
      <c r="P1328" s="1586"/>
      <c r="Q1328" s="2314"/>
      <c r="R1328" s="2314"/>
      <c r="S1328" s="2314"/>
      <c r="T1328" s="1586"/>
      <c r="U1328" s="1586"/>
      <c r="V1328" s="1586"/>
      <c r="W1328" s="1586"/>
    </row>
    <row r="1329" spans="4:23" ht="15">
      <c r="D1329" s="1586"/>
      <c r="E1329" s="1586"/>
      <c r="F1329" s="1586"/>
      <c r="G1329" s="1586"/>
      <c r="H1329" s="1586"/>
      <c r="I1329" s="1586"/>
      <c r="J1329" s="1586"/>
      <c r="K1329" s="1586"/>
      <c r="L1329" s="1586"/>
      <c r="M1329" s="1586"/>
      <c r="N1329" s="1586"/>
      <c r="O1329" s="1586"/>
      <c r="P1329" s="1586"/>
      <c r="Q1329" s="2314"/>
      <c r="R1329" s="2314"/>
      <c r="S1329" s="2314"/>
      <c r="T1329" s="1586"/>
      <c r="U1329" s="1586"/>
      <c r="V1329" s="1586"/>
      <c r="W1329" s="1586"/>
    </row>
    <row r="1330" spans="4:23" ht="15.75">
      <c r="D1330" s="2912" t="s">
        <v>653</v>
      </c>
      <c r="E1330" s="2912"/>
      <c r="F1330" s="2912"/>
      <c r="G1330" s="1586"/>
      <c r="H1330" s="2315">
        <v>2020</v>
      </c>
      <c r="I1330" s="1586"/>
      <c r="J1330" s="1586"/>
      <c r="K1330" s="1586"/>
      <c r="L1330" s="1586"/>
      <c r="M1330" s="1586"/>
      <c r="N1330" s="1586"/>
      <c r="O1330" s="1586"/>
      <c r="P1330" s="1586"/>
      <c r="Q1330" s="2314"/>
      <c r="R1330" s="2314"/>
      <c r="S1330" s="2314"/>
      <c r="T1330" s="1586"/>
      <c r="U1330" s="1586"/>
      <c r="V1330" s="1586"/>
      <c r="W1330" s="1586"/>
    </row>
    <row r="1331" spans="4:23" ht="15">
      <c r="D1331" s="1586"/>
      <c r="E1331" s="1586"/>
      <c r="F1331" s="1586"/>
      <c r="G1331" s="1586"/>
      <c r="H1331" s="1586"/>
      <c r="I1331" s="1586"/>
      <c r="J1331" s="1586"/>
      <c r="K1331" s="1586"/>
      <c r="L1331" s="1586"/>
      <c r="M1331" s="1586"/>
      <c r="N1331" s="1586"/>
      <c r="O1331" s="1586"/>
      <c r="P1331" s="1586"/>
      <c r="Q1331" s="2314"/>
      <c r="R1331" s="2314"/>
      <c r="S1331" s="2314"/>
      <c r="T1331" s="1586"/>
      <c r="U1331" s="1586"/>
      <c r="V1331" s="1586"/>
      <c r="W1331" s="1586"/>
    </row>
    <row r="1332" spans="4:23" ht="15.75">
      <c r="D1332" s="2912" t="s">
        <v>655</v>
      </c>
      <c r="E1332" s="2912"/>
      <c r="F1332" s="2912"/>
      <c r="G1332" s="1586"/>
      <c r="H1332" s="2913" t="s">
        <v>3142</v>
      </c>
      <c r="I1332" s="2914"/>
      <c r="J1332" s="2914"/>
      <c r="K1332" s="2914"/>
      <c r="L1332" s="2914"/>
      <c r="M1332" s="1586"/>
      <c r="N1332" s="1586"/>
      <c r="O1332" s="1586"/>
      <c r="P1332" s="1586"/>
      <c r="Q1332" s="2314"/>
      <c r="R1332" s="2314"/>
      <c r="S1332" s="2314"/>
      <c r="T1332" s="1586"/>
      <c r="U1332" s="1586"/>
      <c r="V1332" s="1586"/>
      <c r="W1332" s="1586"/>
    </row>
    <row r="1333" spans="4:23" ht="15">
      <c r="D1333" s="1586"/>
      <c r="E1333" s="1586"/>
      <c r="F1333" s="1586"/>
      <c r="G1333" s="1586"/>
      <c r="H1333" s="1586"/>
      <c r="I1333" s="1586"/>
      <c r="J1333" s="1586"/>
      <c r="K1333" s="1586"/>
      <c r="L1333" s="1586"/>
      <c r="M1333" s="1586"/>
      <c r="N1333" s="1586"/>
      <c r="O1333" s="1586"/>
      <c r="P1333" s="1586"/>
      <c r="Q1333" s="2314"/>
      <c r="R1333" s="2314"/>
      <c r="S1333" s="2314"/>
      <c r="T1333" s="1586"/>
      <c r="U1333" s="1586"/>
      <c r="V1333" s="1586"/>
      <c r="W1333" s="1586"/>
    </row>
    <row r="1334" spans="4:23" ht="78.75">
      <c r="D1334" s="2316"/>
      <c r="E1334" s="2266" t="s">
        <v>657</v>
      </c>
      <c r="F1334" s="2893" t="s">
        <v>587</v>
      </c>
      <c r="G1334" s="2909"/>
      <c r="H1334" s="2909"/>
      <c r="I1334" s="2910"/>
      <c r="J1334" s="2893" t="s">
        <v>2751</v>
      </c>
      <c r="K1334" s="2910"/>
      <c r="L1334" s="2893" t="s">
        <v>2752</v>
      </c>
      <c r="M1334" s="2910"/>
      <c r="N1334" s="2266" t="s">
        <v>2753</v>
      </c>
      <c r="O1334" s="2266" t="s">
        <v>2754</v>
      </c>
      <c r="P1334" s="2266" t="s">
        <v>2755</v>
      </c>
      <c r="Q1334" s="2267" t="s">
        <v>2756</v>
      </c>
      <c r="R1334" s="2267" t="s">
        <v>2757</v>
      </c>
      <c r="S1334" s="2267" t="s">
        <v>2758</v>
      </c>
      <c r="T1334" s="2266" t="s">
        <v>623</v>
      </c>
      <c r="U1334" s="2266" t="s">
        <v>2759</v>
      </c>
      <c r="V1334" s="2266" t="s">
        <v>2760</v>
      </c>
      <c r="W1334" s="2266" t="s">
        <v>2761</v>
      </c>
    </row>
    <row r="1335" spans="4:23" ht="45">
      <c r="D1335" s="2316"/>
      <c r="E1335" s="2268">
        <v>1</v>
      </c>
      <c r="F1335" s="2882" t="s">
        <v>2875</v>
      </c>
      <c r="G1335" s="2905"/>
      <c r="H1335" s="2905"/>
      <c r="I1335" s="2906"/>
      <c r="J1335" s="2882" t="s">
        <v>1898</v>
      </c>
      <c r="K1335" s="2906"/>
      <c r="L1335" s="2882" t="s">
        <v>2762</v>
      </c>
      <c r="M1335" s="2906"/>
      <c r="N1335" s="2268" t="s">
        <v>2763</v>
      </c>
      <c r="O1335" s="2268" t="s">
        <v>2775</v>
      </c>
      <c r="P1335" s="2268" t="s">
        <v>2765</v>
      </c>
      <c r="Q1335" s="2269">
        <v>80000</v>
      </c>
      <c r="R1335" s="2270" t="s">
        <v>2766</v>
      </c>
      <c r="S1335" s="2270">
        <v>80000</v>
      </c>
      <c r="T1335" s="2268"/>
      <c r="U1335" s="2268" t="s">
        <v>2767</v>
      </c>
      <c r="V1335" s="2268" t="s">
        <v>2768</v>
      </c>
      <c r="W1335" s="2268"/>
    </row>
    <row r="1336" spans="4:23" ht="30">
      <c r="D1336" s="2316"/>
      <c r="E1336" s="2271" t="s">
        <v>676</v>
      </c>
      <c r="F1336" s="2888" t="s">
        <v>676</v>
      </c>
      <c r="G1336" s="2907"/>
      <c r="H1336" s="2907"/>
      <c r="I1336" s="2908"/>
      <c r="J1336" s="2888" t="s">
        <v>676</v>
      </c>
      <c r="K1336" s="2908"/>
      <c r="L1336" s="2888" t="s">
        <v>676</v>
      </c>
      <c r="M1336" s="2908"/>
      <c r="N1336" s="2271" t="s">
        <v>676</v>
      </c>
      <c r="O1336" s="2271" t="s">
        <v>676</v>
      </c>
      <c r="P1336" s="2271" t="s">
        <v>676</v>
      </c>
      <c r="Q1336" s="2272" t="s">
        <v>676</v>
      </c>
      <c r="R1336" s="2270" t="s">
        <v>2769</v>
      </c>
      <c r="S1336" s="2270">
        <v>0</v>
      </c>
      <c r="T1336" s="2271" t="s">
        <v>676</v>
      </c>
      <c r="U1336" s="2271" t="s">
        <v>676</v>
      </c>
      <c r="V1336" s="2271" t="s">
        <v>676</v>
      </c>
      <c r="W1336" s="2271" t="s">
        <v>676</v>
      </c>
    </row>
    <row r="1337" spans="4:23" ht="30">
      <c r="D1337" s="2316"/>
      <c r="E1337" s="2271" t="s">
        <v>676</v>
      </c>
      <c r="F1337" s="2891" t="s">
        <v>676</v>
      </c>
      <c r="G1337" s="2907"/>
      <c r="H1337" s="2907"/>
      <c r="I1337" s="2908"/>
      <c r="J1337" s="2892" t="s">
        <v>676</v>
      </c>
      <c r="K1337" s="2907"/>
      <c r="L1337" s="2888" t="s">
        <v>676</v>
      </c>
      <c r="M1337" s="2908"/>
      <c r="N1337" s="2271" t="s">
        <v>676</v>
      </c>
      <c r="O1337" s="2271" t="s">
        <v>676</v>
      </c>
      <c r="P1337" s="2271" t="s">
        <v>676</v>
      </c>
      <c r="Q1337" s="2272" t="s">
        <v>676</v>
      </c>
      <c r="R1337" s="2270" t="s">
        <v>2770</v>
      </c>
      <c r="S1337" s="2270">
        <v>0</v>
      </c>
      <c r="T1337" s="2271" t="s">
        <v>676</v>
      </c>
      <c r="U1337" s="2271" t="s">
        <v>676</v>
      </c>
      <c r="V1337" s="2271" t="s">
        <v>676</v>
      </c>
      <c r="W1337" s="2271" t="s">
        <v>676</v>
      </c>
    </row>
    <row r="1338" spans="4:23" ht="45">
      <c r="D1338" s="2316"/>
      <c r="E1338" s="2268">
        <v>2</v>
      </c>
      <c r="F1338" s="2882" t="s">
        <v>3143</v>
      </c>
      <c r="G1338" s="2905"/>
      <c r="H1338" s="2905"/>
      <c r="I1338" s="2906"/>
      <c r="J1338" s="2882" t="s">
        <v>3144</v>
      </c>
      <c r="K1338" s="2906"/>
      <c r="L1338" s="2882" t="s">
        <v>2762</v>
      </c>
      <c r="M1338" s="2906"/>
      <c r="N1338" s="2268" t="s">
        <v>2763</v>
      </c>
      <c r="O1338" s="2268" t="s">
        <v>2764</v>
      </c>
      <c r="P1338" s="2268" t="s">
        <v>2765</v>
      </c>
      <c r="Q1338" s="2269">
        <v>45000</v>
      </c>
      <c r="R1338" s="2270" t="s">
        <v>2766</v>
      </c>
      <c r="S1338" s="2270">
        <v>45000</v>
      </c>
      <c r="T1338" s="2268"/>
      <c r="U1338" s="2268" t="s">
        <v>2767</v>
      </c>
      <c r="V1338" s="2268" t="s">
        <v>2768</v>
      </c>
      <c r="W1338" s="2268"/>
    </row>
    <row r="1339" spans="4:23" ht="30">
      <c r="D1339" s="2316"/>
      <c r="E1339" s="2271" t="s">
        <v>676</v>
      </c>
      <c r="F1339" s="2888" t="s">
        <v>676</v>
      </c>
      <c r="G1339" s="2907"/>
      <c r="H1339" s="2907"/>
      <c r="I1339" s="2908"/>
      <c r="J1339" s="2888" t="s">
        <v>676</v>
      </c>
      <c r="K1339" s="2908"/>
      <c r="L1339" s="2888" t="s">
        <v>676</v>
      </c>
      <c r="M1339" s="2908"/>
      <c r="N1339" s="2271" t="s">
        <v>676</v>
      </c>
      <c r="O1339" s="2271" t="s">
        <v>676</v>
      </c>
      <c r="P1339" s="2271" t="s">
        <v>676</v>
      </c>
      <c r="Q1339" s="2272" t="s">
        <v>676</v>
      </c>
      <c r="R1339" s="2270" t="s">
        <v>2769</v>
      </c>
      <c r="S1339" s="2270">
        <v>0</v>
      </c>
      <c r="T1339" s="2271" t="s">
        <v>676</v>
      </c>
      <c r="U1339" s="2271" t="s">
        <v>676</v>
      </c>
      <c r="V1339" s="2271" t="s">
        <v>676</v>
      </c>
      <c r="W1339" s="2271" t="s">
        <v>676</v>
      </c>
    </row>
    <row r="1340" spans="4:23" ht="30">
      <c r="D1340" s="2316"/>
      <c r="E1340" s="2271" t="s">
        <v>676</v>
      </c>
      <c r="F1340" s="2891" t="s">
        <v>676</v>
      </c>
      <c r="G1340" s="2907"/>
      <c r="H1340" s="2907"/>
      <c r="I1340" s="2908"/>
      <c r="J1340" s="2892" t="s">
        <v>676</v>
      </c>
      <c r="K1340" s="2907"/>
      <c r="L1340" s="2888" t="s">
        <v>676</v>
      </c>
      <c r="M1340" s="2908"/>
      <c r="N1340" s="2271" t="s">
        <v>676</v>
      </c>
      <c r="O1340" s="2271" t="s">
        <v>676</v>
      </c>
      <c r="P1340" s="2271" t="s">
        <v>676</v>
      </c>
      <c r="Q1340" s="2272" t="s">
        <v>676</v>
      </c>
      <c r="R1340" s="2270" t="s">
        <v>2770</v>
      </c>
      <c r="S1340" s="2270">
        <v>0</v>
      </c>
      <c r="T1340" s="2271" t="s">
        <v>676</v>
      </c>
      <c r="U1340" s="2271" t="s">
        <v>676</v>
      </c>
      <c r="V1340" s="2271" t="s">
        <v>676</v>
      </c>
      <c r="W1340" s="2271" t="s">
        <v>676</v>
      </c>
    </row>
    <row r="1341" spans="4:23" ht="45">
      <c r="D1341" s="2316"/>
      <c r="E1341" s="2268">
        <v>3</v>
      </c>
      <c r="F1341" s="2882" t="s">
        <v>3145</v>
      </c>
      <c r="G1341" s="2905"/>
      <c r="H1341" s="2905"/>
      <c r="I1341" s="2906"/>
      <c r="J1341" s="2882" t="s">
        <v>3146</v>
      </c>
      <c r="K1341" s="2906"/>
      <c r="L1341" s="2882" t="s">
        <v>2762</v>
      </c>
      <c r="M1341" s="2906"/>
      <c r="N1341" s="2268" t="s">
        <v>2763</v>
      </c>
      <c r="O1341" s="2268" t="s">
        <v>2764</v>
      </c>
      <c r="P1341" s="2268" t="s">
        <v>2765</v>
      </c>
      <c r="Q1341" s="2269">
        <v>58300</v>
      </c>
      <c r="R1341" s="2270" t="s">
        <v>2766</v>
      </c>
      <c r="S1341" s="2270">
        <v>58300</v>
      </c>
      <c r="T1341" s="2268"/>
      <c r="U1341" s="2268" t="s">
        <v>2767</v>
      </c>
      <c r="V1341" s="2268" t="s">
        <v>2768</v>
      </c>
      <c r="W1341" s="2268"/>
    </row>
    <row r="1342" spans="4:23" ht="30">
      <c r="D1342" s="2316"/>
      <c r="E1342" s="2271" t="s">
        <v>676</v>
      </c>
      <c r="F1342" s="2888" t="s">
        <v>676</v>
      </c>
      <c r="G1342" s="2907"/>
      <c r="H1342" s="2907"/>
      <c r="I1342" s="2908"/>
      <c r="J1342" s="2888" t="s">
        <v>676</v>
      </c>
      <c r="K1342" s="2908"/>
      <c r="L1342" s="2888" t="s">
        <v>676</v>
      </c>
      <c r="M1342" s="2908"/>
      <c r="N1342" s="2271" t="s">
        <v>676</v>
      </c>
      <c r="O1342" s="2271" t="s">
        <v>676</v>
      </c>
      <c r="P1342" s="2271" t="s">
        <v>676</v>
      </c>
      <c r="Q1342" s="2272" t="s">
        <v>676</v>
      </c>
      <c r="R1342" s="2270" t="s">
        <v>2769</v>
      </c>
      <c r="S1342" s="2270">
        <v>0</v>
      </c>
      <c r="T1342" s="2271" t="s">
        <v>676</v>
      </c>
      <c r="U1342" s="2271" t="s">
        <v>676</v>
      </c>
      <c r="V1342" s="2271" t="s">
        <v>676</v>
      </c>
      <c r="W1342" s="2271" t="s">
        <v>676</v>
      </c>
    </row>
    <row r="1343" spans="4:23" ht="30">
      <c r="D1343" s="2316"/>
      <c r="E1343" s="2271" t="s">
        <v>676</v>
      </c>
      <c r="F1343" s="2891" t="s">
        <v>676</v>
      </c>
      <c r="G1343" s="2907"/>
      <c r="H1343" s="2907"/>
      <c r="I1343" s="2908"/>
      <c r="J1343" s="2892" t="s">
        <v>676</v>
      </c>
      <c r="K1343" s="2907"/>
      <c r="L1343" s="2888" t="s">
        <v>676</v>
      </c>
      <c r="M1343" s="2908"/>
      <c r="N1343" s="2271" t="s">
        <v>676</v>
      </c>
      <c r="O1343" s="2271" t="s">
        <v>676</v>
      </c>
      <c r="P1343" s="2271" t="s">
        <v>676</v>
      </c>
      <c r="Q1343" s="2272" t="s">
        <v>676</v>
      </c>
      <c r="R1343" s="2270" t="s">
        <v>2770</v>
      </c>
      <c r="S1343" s="2270">
        <v>0</v>
      </c>
      <c r="T1343" s="2271" t="s">
        <v>676</v>
      </c>
      <c r="U1343" s="2271" t="s">
        <v>676</v>
      </c>
      <c r="V1343" s="2271" t="s">
        <v>676</v>
      </c>
      <c r="W1343" s="2271" t="s">
        <v>676</v>
      </c>
    </row>
    <row r="1344" spans="4:23" ht="45">
      <c r="D1344" s="2316"/>
      <c r="E1344" s="2268">
        <v>4</v>
      </c>
      <c r="F1344" s="2882" t="s">
        <v>3147</v>
      </c>
      <c r="G1344" s="2905"/>
      <c r="H1344" s="2905"/>
      <c r="I1344" s="2906"/>
      <c r="J1344" s="2882" t="s">
        <v>2092</v>
      </c>
      <c r="K1344" s="2906"/>
      <c r="L1344" s="2882" t="s">
        <v>2762</v>
      </c>
      <c r="M1344" s="2906"/>
      <c r="N1344" s="2268" t="s">
        <v>2763</v>
      </c>
      <c r="O1344" s="2268" t="s">
        <v>2775</v>
      </c>
      <c r="P1344" s="2268" t="s">
        <v>2765</v>
      </c>
      <c r="Q1344" s="2269">
        <v>35000</v>
      </c>
      <c r="R1344" s="2270" t="s">
        <v>2766</v>
      </c>
      <c r="S1344" s="2270">
        <v>35000</v>
      </c>
      <c r="T1344" s="2268"/>
      <c r="U1344" s="2268" t="s">
        <v>2767</v>
      </c>
      <c r="V1344" s="2268" t="s">
        <v>2768</v>
      </c>
      <c r="W1344" s="2268"/>
    </row>
    <row r="1345" spans="4:23" ht="30">
      <c r="D1345" s="2316"/>
      <c r="E1345" s="2271" t="s">
        <v>676</v>
      </c>
      <c r="F1345" s="2888" t="s">
        <v>676</v>
      </c>
      <c r="G1345" s="2907"/>
      <c r="H1345" s="2907"/>
      <c r="I1345" s="2908"/>
      <c r="J1345" s="2888" t="s">
        <v>676</v>
      </c>
      <c r="K1345" s="2908"/>
      <c r="L1345" s="2888" t="s">
        <v>676</v>
      </c>
      <c r="M1345" s="2908"/>
      <c r="N1345" s="2271" t="s">
        <v>676</v>
      </c>
      <c r="O1345" s="2271" t="s">
        <v>676</v>
      </c>
      <c r="P1345" s="2271" t="s">
        <v>676</v>
      </c>
      <c r="Q1345" s="2272" t="s">
        <v>676</v>
      </c>
      <c r="R1345" s="2270" t="s">
        <v>2769</v>
      </c>
      <c r="S1345" s="2270">
        <v>0</v>
      </c>
      <c r="T1345" s="2271" t="s">
        <v>676</v>
      </c>
      <c r="U1345" s="2271" t="s">
        <v>676</v>
      </c>
      <c r="V1345" s="2271" t="s">
        <v>676</v>
      </c>
      <c r="W1345" s="2271" t="s">
        <v>676</v>
      </c>
    </row>
    <row r="1346" spans="4:23" ht="30">
      <c r="D1346" s="2316"/>
      <c r="E1346" s="2271" t="s">
        <v>676</v>
      </c>
      <c r="F1346" s="2891" t="s">
        <v>676</v>
      </c>
      <c r="G1346" s="2907"/>
      <c r="H1346" s="2907"/>
      <c r="I1346" s="2908"/>
      <c r="J1346" s="2892" t="s">
        <v>676</v>
      </c>
      <c r="K1346" s="2907"/>
      <c r="L1346" s="2888" t="s">
        <v>676</v>
      </c>
      <c r="M1346" s="2908"/>
      <c r="N1346" s="2271" t="s">
        <v>676</v>
      </c>
      <c r="O1346" s="2271" t="s">
        <v>676</v>
      </c>
      <c r="P1346" s="2271" t="s">
        <v>676</v>
      </c>
      <c r="Q1346" s="2272" t="s">
        <v>676</v>
      </c>
      <c r="R1346" s="2270" t="s">
        <v>2770</v>
      </c>
      <c r="S1346" s="2270">
        <v>0</v>
      </c>
      <c r="T1346" s="2271" t="s">
        <v>676</v>
      </c>
      <c r="U1346" s="2271" t="s">
        <v>676</v>
      </c>
      <c r="V1346" s="2271" t="s">
        <v>676</v>
      </c>
      <c r="W1346" s="2271" t="s">
        <v>676</v>
      </c>
    </row>
    <row r="1347" spans="4:23" ht="45">
      <c r="D1347" s="2316"/>
      <c r="E1347" s="2268">
        <v>5</v>
      </c>
      <c r="F1347" s="2882" t="s">
        <v>3148</v>
      </c>
      <c r="G1347" s="2905"/>
      <c r="H1347" s="2905"/>
      <c r="I1347" s="2906"/>
      <c r="J1347" s="2882" t="s">
        <v>2240</v>
      </c>
      <c r="K1347" s="2906"/>
      <c r="L1347" s="2882" t="s">
        <v>2762</v>
      </c>
      <c r="M1347" s="2906"/>
      <c r="N1347" s="2268" t="s">
        <v>2763</v>
      </c>
      <c r="O1347" s="2268" t="s">
        <v>2764</v>
      </c>
      <c r="P1347" s="2268" t="s">
        <v>2765</v>
      </c>
      <c r="Q1347" s="2269">
        <v>50000</v>
      </c>
      <c r="R1347" s="2270" t="s">
        <v>2766</v>
      </c>
      <c r="S1347" s="2270">
        <v>50000</v>
      </c>
      <c r="T1347" s="2268"/>
      <c r="U1347" s="2268" t="s">
        <v>2767</v>
      </c>
      <c r="V1347" s="2268" t="s">
        <v>2768</v>
      </c>
      <c r="W1347" s="2268"/>
    </row>
    <row r="1348" spans="4:23" ht="30">
      <c r="D1348" s="2316"/>
      <c r="E1348" s="2271" t="s">
        <v>676</v>
      </c>
      <c r="F1348" s="2888" t="s">
        <v>676</v>
      </c>
      <c r="G1348" s="2907"/>
      <c r="H1348" s="2907"/>
      <c r="I1348" s="2908"/>
      <c r="J1348" s="2888" t="s">
        <v>676</v>
      </c>
      <c r="K1348" s="2908"/>
      <c r="L1348" s="2888" t="s">
        <v>676</v>
      </c>
      <c r="M1348" s="2908"/>
      <c r="N1348" s="2271" t="s">
        <v>676</v>
      </c>
      <c r="O1348" s="2271" t="s">
        <v>676</v>
      </c>
      <c r="P1348" s="2271" t="s">
        <v>676</v>
      </c>
      <c r="Q1348" s="2272" t="s">
        <v>676</v>
      </c>
      <c r="R1348" s="2270" t="s">
        <v>2769</v>
      </c>
      <c r="S1348" s="2270">
        <v>0</v>
      </c>
      <c r="T1348" s="2271" t="s">
        <v>676</v>
      </c>
      <c r="U1348" s="2271" t="s">
        <v>676</v>
      </c>
      <c r="V1348" s="2271" t="s">
        <v>676</v>
      </c>
      <c r="W1348" s="2271" t="s">
        <v>676</v>
      </c>
    </row>
    <row r="1349" spans="4:23" ht="30">
      <c r="D1349" s="2316"/>
      <c r="E1349" s="2271" t="s">
        <v>676</v>
      </c>
      <c r="F1349" s="2891" t="s">
        <v>676</v>
      </c>
      <c r="G1349" s="2907"/>
      <c r="H1349" s="2907"/>
      <c r="I1349" s="2908"/>
      <c r="J1349" s="2892" t="s">
        <v>676</v>
      </c>
      <c r="K1349" s="2907"/>
      <c r="L1349" s="2888" t="s">
        <v>676</v>
      </c>
      <c r="M1349" s="2908"/>
      <c r="N1349" s="2271" t="s">
        <v>676</v>
      </c>
      <c r="O1349" s="2271" t="s">
        <v>676</v>
      </c>
      <c r="P1349" s="2271" t="s">
        <v>676</v>
      </c>
      <c r="Q1349" s="2272" t="s">
        <v>676</v>
      </c>
      <c r="R1349" s="2270" t="s">
        <v>2770</v>
      </c>
      <c r="S1349" s="2270">
        <v>0</v>
      </c>
      <c r="T1349" s="2271" t="s">
        <v>676</v>
      </c>
      <c r="U1349" s="2271" t="s">
        <v>676</v>
      </c>
      <c r="V1349" s="2271" t="s">
        <v>676</v>
      </c>
      <c r="W1349" s="2271" t="s">
        <v>676</v>
      </c>
    </row>
    <row r="1350" spans="4:23" ht="45">
      <c r="D1350" s="2316"/>
      <c r="E1350" s="2268">
        <v>6</v>
      </c>
      <c r="F1350" s="2882" t="s">
        <v>203</v>
      </c>
      <c r="G1350" s="2905"/>
      <c r="H1350" s="2905"/>
      <c r="I1350" s="2906"/>
      <c r="J1350" s="2882" t="s">
        <v>2192</v>
      </c>
      <c r="K1350" s="2906"/>
      <c r="L1350" s="2882" t="s">
        <v>2762</v>
      </c>
      <c r="M1350" s="2906"/>
      <c r="N1350" s="2268" t="s">
        <v>2763</v>
      </c>
      <c r="O1350" s="2268" t="s">
        <v>2764</v>
      </c>
      <c r="P1350" s="2268" t="s">
        <v>2765</v>
      </c>
      <c r="Q1350" s="2269">
        <v>80000</v>
      </c>
      <c r="R1350" s="2270" t="s">
        <v>2766</v>
      </c>
      <c r="S1350" s="2270">
        <v>80000</v>
      </c>
      <c r="T1350" s="2268"/>
      <c r="U1350" s="2268" t="s">
        <v>2767</v>
      </c>
      <c r="V1350" s="2268" t="s">
        <v>2768</v>
      </c>
      <c r="W1350" s="2268"/>
    </row>
    <row r="1351" spans="4:23" ht="30">
      <c r="D1351" s="2316"/>
      <c r="E1351" s="2271" t="s">
        <v>676</v>
      </c>
      <c r="F1351" s="2888" t="s">
        <v>676</v>
      </c>
      <c r="G1351" s="2907"/>
      <c r="H1351" s="2907"/>
      <c r="I1351" s="2908"/>
      <c r="J1351" s="2888" t="s">
        <v>676</v>
      </c>
      <c r="K1351" s="2908"/>
      <c r="L1351" s="2888" t="s">
        <v>676</v>
      </c>
      <c r="M1351" s="2908"/>
      <c r="N1351" s="2271" t="s">
        <v>676</v>
      </c>
      <c r="O1351" s="2271" t="s">
        <v>676</v>
      </c>
      <c r="P1351" s="2271" t="s">
        <v>676</v>
      </c>
      <c r="Q1351" s="2272" t="s">
        <v>676</v>
      </c>
      <c r="R1351" s="2270" t="s">
        <v>2769</v>
      </c>
      <c r="S1351" s="2270">
        <v>0</v>
      </c>
      <c r="T1351" s="2271" t="s">
        <v>676</v>
      </c>
      <c r="U1351" s="2271" t="s">
        <v>676</v>
      </c>
      <c r="V1351" s="2271" t="s">
        <v>676</v>
      </c>
      <c r="W1351" s="2271" t="s">
        <v>676</v>
      </c>
    </row>
    <row r="1352" spans="4:23" ht="30">
      <c r="D1352" s="2316"/>
      <c r="E1352" s="2273" t="s">
        <v>676</v>
      </c>
      <c r="F1352" s="2896" t="s">
        <v>676</v>
      </c>
      <c r="G1352" s="2897"/>
      <c r="H1352" s="2897"/>
      <c r="I1352" s="2898"/>
      <c r="J1352" s="2899" t="s">
        <v>676</v>
      </c>
      <c r="K1352" s="2897"/>
      <c r="L1352" s="2900" t="s">
        <v>676</v>
      </c>
      <c r="M1352" s="2898"/>
      <c r="N1352" s="2273" t="s">
        <v>676</v>
      </c>
      <c r="O1352" s="2273" t="s">
        <v>676</v>
      </c>
      <c r="P1352" s="2273" t="s">
        <v>676</v>
      </c>
      <c r="Q1352" s="2274" t="s">
        <v>676</v>
      </c>
      <c r="R1352" s="2270" t="s">
        <v>2770</v>
      </c>
      <c r="S1352" s="2270">
        <v>0</v>
      </c>
      <c r="T1352" s="2273" t="s">
        <v>676</v>
      </c>
      <c r="U1352" s="2273" t="s">
        <v>676</v>
      </c>
      <c r="V1352" s="2273" t="s">
        <v>676</v>
      </c>
      <c r="W1352" s="2273" t="s">
        <v>676</v>
      </c>
    </row>
    <row r="1353" spans="4:23" ht="30">
      <c r="D1353" s="2359"/>
      <c r="E1353" s="2362"/>
      <c r="F1353" s="2436" t="s">
        <v>82</v>
      </c>
      <c r="G1353" s="2437"/>
      <c r="H1353" s="2338"/>
      <c r="I1353" s="2338"/>
      <c r="J1353" s="2338"/>
      <c r="K1353" s="2338"/>
      <c r="L1353" s="2365"/>
      <c r="M1353" s="2365"/>
      <c r="N1353" s="2365"/>
      <c r="O1353" s="2338"/>
      <c r="P1353" s="2338"/>
      <c r="Q1353" s="2365">
        <f>SUM(Q1335:Q1352)</f>
        <v>348300</v>
      </c>
      <c r="R1353" s="2365"/>
      <c r="S1353" s="2340">
        <f>SUM(S1335:S1352)</f>
        <v>348300</v>
      </c>
      <c r="T1353" s="2337"/>
      <c r="U1353" s="2337"/>
      <c r="V1353" s="2337"/>
      <c r="W1353" s="2342"/>
    </row>
    <row r="1354" spans="4:23" ht="20.25">
      <c r="D1354" s="2326"/>
      <c r="E1354" s="2324"/>
      <c r="F1354" s="2325"/>
      <c r="G1354" s="2324"/>
      <c r="H1354" s="2324"/>
      <c r="I1354" s="2325"/>
      <c r="J1354" s="2324"/>
      <c r="K1354" s="2324"/>
      <c r="L1354" s="2324"/>
      <c r="M1354" s="2324"/>
      <c r="N1354" s="2326"/>
      <c r="O1354" s="2326"/>
      <c r="P1354" s="2326"/>
      <c r="Q1354" s="2326"/>
      <c r="R1354" s="2328" t="s">
        <v>2789</v>
      </c>
      <c r="S1354" s="2326"/>
      <c r="T1354" s="2326"/>
      <c r="U1354" s="2326"/>
      <c r="V1354" s="2326"/>
      <c r="W1354" s="2326"/>
    </row>
    <row r="1355" spans="4:23" ht="20.25">
      <c r="D1355" s="2326"/>
      <c r="E1355" s="2326"/>
      <c r="F1355" s="2326"/>
      <c r="G1355" s="2326"/>
      <c r="H1355" s="2326"/>
      <c r="I1355" s="2326"/>
      <c r="J1355" s="2326"/>
      <c r="K1355" s="2326"/>
      <c r="L1355" s="2326"/>
      <c r="M1355" s="2326"/>
      <c r="N1355" s="2326"/>
      <c r="O1355" s="2326"/>
      <c r="P1355" s="2326"/>
      <c r="Q1355" s="2326"/>
      <c r="R1355" s="2328" t="s">
        <v>2790</v>
      </c>
      <c r="S1355" s="2326"/>
      <c r="T1355" s="2326"/>
      <c r="U1355" s="2326"/>
      <c r="V1355" s="2326"/>
      <c r="W1355" s="2326"/>
    </row>
    <row r="1356" spans="4:23" ht="15">
      <c r="D1356" s="2359"/>
      <c r="E1356" s="2359"/>
      <c r="F1356" s="2360"/>
      <c r="G1356" s="2359"/>
      <c r="H1356" s="2359"/>
      <c r="I1356" s="2359"/>
      <c r="J1356" s="2359"/>
      <c r="K1356" s="2360"/>
      <c r="L1356" s="2326"/>
      <c r="M1356" s="2360"/>
      <c r="N1356" s="2359"/>
      <c r="O1356" s="2359"/>
      <c r="P1356" s="2359"/>
      <c r="Q1356" s="2326"/>
      <c r="R1356" s="2326"/>
      <c r="S1356" s="2326"/>
      <c r="T1356" s="2359"/>
      <c r="U1356" s="2359"/>
      <c r="V1356" s="2359"/>
      <c r="W1356" s="2359"/>
    </row>
    <row r="1357" spans="4:23" ht="20.25">
      <c r="D1357" s="2911" t="s">
        <v>2749</v>
      </c>
      <c r="E1357" s="2911"/>
      <c r="F1357" s="2911"/>
      <c r="G1357" s="2911"/>
      <c r="H1357" s="2911"/>
      <c r="I1357" s="2911"/>
      <c r="J1357" s="2911"/>
      <c r="K1357" s="1586"/>
      <c r="L1357" s="1586"/>
      <c r="M1357" s="1586"/>
      <c r="N1357" s="1586"/>
      <c r="O1357" s="1586"/>
      <c r="P1357" s="1586"/>
      <c r="Q1357" s="2314"/>
      <c r="R1357" s="2314"/>
      <c r="S1357" s="2314"/>
      <c r="T1357" s="1586"/>
      <c r="U1357" s="1586"/>
      <c r="V1357" s="1586"/>
      <c r="W1357" s="1586"/>
    </row>
    <row r="1358" spans="4:23" ht="15">
      <c r="D1358" s="1586"/>
      <c r="E1358" s="1586"/>
      <c r="F1358" s="1586"/>
      <c r="G1358" s="1586"/>
      <c r="H1358" s="1586"/>
      <c r="I1358" s="1586"/>
      <c r="J1358" s="1586"/>
      <c r="K1358" s="1586"/>
      <c r="L1358" s="1586"/>
      <c r="M1358" s="1586"/>
      <c r="N1358" s="1586"/>
      <c r="O1358" s="1586"/>
      <c r="P1358" s="1586"/>
      <c r="Q1358" s="2314"/>
      <c r="R1358" s="2314"/>
      <c r="S1358" s="2314"/>
      <c r="T1358" s="1586"/>
      <c r="U1358" s="1586"/>
      <c r="V1358" s="1586"/>
      <c r="W1358" s="1586"/>
    </row>
    <row r="1359" spans="4:23" ht="15.75">
      <c r="D1359" s="2912" t="s">
        <v>653</v>
      </c>
      <c r="E1359" s="2912"/>
      <c r="F1359" s="2912"/>
      <c r="G1359" s="1586"/>
      <c r="H1359" s="2315">
        <v>2020</v>
      </c>
      <c r="I1359" s="1586"/>
      <c r="J1359" s="1586"/>
      <c r="K1359" s="1586"/>
      <c r="L1359" s="1586"/>
      <c r="M1359" s="1586"/>
      <c r="N1359" s="1586"/>
      <c r="O1359" s="1586"/>
      <c r="P1359" s="1586"/>
      <c r="Q1359" s="2314"/>
      <c r="R1359" s="2314"/>
      <c r="S1359" s="2314"/>
      <c r="T1359" s="1586"/>
      <c r="U1359" s="1586"/>
      <c r="V1359" s="1586"/>
      <c r="W1359" s="1586"/>
    </row>
    <row r="1360" spans="4:23" ht="15">
      <c r="D1360" s="1586"/>
      <c r="E1360" s="1586"/>
      <c r="F1360" s="1586"/>
      <c r="G1360" s="1586"/>
      <c r="H1360" s="1586"/>
      <c r="I1360" s="1586"/>
      <c r="J1360" s="1586"/>
      <c r="K1360" s="1586"/>
      <c r="L1360" s="1586"/>
      <c r="M1360" s="1586"/>
      <c r="N1360" s="1586"/>
      <c r="O1360" s="1586"/>
      <c r="P1360" s="1586"/>
      <c r="Q1360" s="2314"/>
      <c r="R1360" s="2314"/>
      <c r="S1360" s="2314"/>
      <c r="T1360" s="1586"/>
      <c r="U1360" s="1586"/>
      <c r="V1360" s="1586"/>
      <c r="W1360" s="1586"/>
    </row>
    <row r="1361" spans="4:23" ht="15.75">
      <c r="D1361" s="2912" t="s">
        <v>655</v>
      </c>
      <c r="E1361" s="2912"/>
      <c r="F1361" s="2912"/>
      <c r="G1361" s="1586"/>
      <c r="H1361" s="2913" t="s">
        <v>2196</v>
      </c>
      <c r="I1361" s="2913"/>
      <c r="J1361" s="2913"/>
      <c r="K1361" s="2913"/>
      <c r="L1361" s="2913"/>
      <c r="M1361" s="1586"/>
      <c r="N1361" s="1586"/>
      <c r="O1361" s="1586"/>
      <c r="P1361" s="1586"/>
      <c r="Q1361" s="2314"/>
      <c r="R1361" s="2314"/>
      <c r="S1361" s="2314"/>
      <c r="T1361" s="1586"/>
      <c r="U1361" s="1586"/>
      <c r="V1361" s="1586"/>
      <c r="W1361" s="1586"/>
    </row>
    <row r="1362" spans="4:23" ht="15">
      <c r="D1362" s="1586"/>
      <c r="E1362" s="1586"/>
      <c r="F1362" s="1586"/>
      <c r="G1362" s="1586"/>
      <c r="H1362" s="1586"/>
      <c r="I1362" s="1586"/>
      <c r="J1362" s="1586"/>
      <c r="K1362" s="1586"/>
      <c r="L1362" s="1586"/>
      <c r="M1362" s="1586"/>
      <c r="N1362" s="1586"/>
      <c r="O1362" s="1586"/>
      <c r="P1362" s="1586"/>
      <c r="Q1362" s="2314"/>
      <c r="R1362" s="2314"/>
      <c r="S1362" s="2314"/>
      <c r="T1362" s="1586"/>
      <c r="U1362" s="1586"/>
      <c r="V1362" s="1586"/>
      <c r="W1362" s="1586"/>
    </row>
    <row r="1363" spans="4:23" ht="78.75">
      <c r="D1363" s="2265"/>
      <c r="E1363" s="2266" t="s">
        <v>657</v>
      </c>
      <c r="F1363" s="2893" t="s">
        <v>587</v>
      </c>
      <c r="G1363" s="2894"/>
      <c r="H1363" s="2894"/>
      <c r="I1363" s="2895"/>
      <c r="J1363" s="2893" t="s">
        <v>2751</v>
      </c>
      <c r="K1363" s="2895"/>
      <c r="L1363" s="2893" t="s">
        <v>2752</v>
      </c>
      <c r="M1363" s="2895"/>
      <c r="N1363" s="2266" t="s">
        <v>2753</v>
      </c>
      <c r="O1363" s="2266" t="s">
        <v>2754</v>
      </c>
      <c r="P1363" s="2266" t="s">
        <v>2755</v>
      </c>
      <c r="Q1363" s="2267" t="s">
        <v>2756</v>
      </c>
      <c r="R1363" s="2267" t="s">
        <v>2757</v>
      </c>
      <c r="S1363" s="2267" t="s">
        <v>2758</v>
      </c>
      <c r="T1363" s="2266" t="s">
        <v>623</v>
      </c>
      <c r="U1363" s="2266" t="s">
        <v>2759</v>
      </c>
      <c r="V1363" s="2266" t="s">
        <v>2760</v>
      </c>
      <c r="W1363" s="2439" t="s">
        <v>2761</v>
      </c>
    </row>
    <row r="1364" spans="4:23" ht="30">
      <c r="D1364" s="2265"/>
      <c r="E1364" s="2268">
        <v>1</v>
      </c>
      <c r="F1364" s="2930" t="s">
        <v>3149</v>
      </c>
      <c r="G1364" s="2931"/>
      <c r="H1364" s="2931"/>
      <c r="I1364" s="2932"/>
      <c r="J1364" s="2930" t="s">
        <v>2192</v>
      </c>
      <c r="K1364" s="2932"/>
      <c r="L1364" s="2882" t="s">
        <v>2762</v>
      </c>
      <c r="M1364" s="2884"/>
      <c r="N1364" s="2268" t="s">
        <v>2763</v>
      </c>
      <c r="O1364" s="2268" t="s">
        <v>2764</v>
      </c>
      <c r="P1364" s="2882" t="s">
        <v>2765</v>
      </c>
      <c r="Q1364" s="2269">
        <v>80000</v>
      </c>
      <c r="R1364" s="2270" t="s">
        <v>2766</v>
      </c>
      <c r="S1364" s="2270">
        <v>80000</v>
      </c>
      <c r="T1364" s="2268"/>
      <c r="U1364" s="2268" t="s">
        <v>2932</v>
      </c>
      <c r="V1364" s="2440" t="s">
        <v>2768</v>
      </c>
      <c r="W1364" s="2935" t="s">
        <v>3150</v>
      </c>
    </row>
    <row r="1365" spans="4:23" ht="30">
      <c r="D1365" s="2265"/>
      <c r="E1365" s="2271" t="s">
        <v>676</v>
      </c>
      <c r="F1365" s="2441"/>
      <c r="G1365" s="2262"/>
      <c r="H1365" s="2262"/>
      <c r="I1365" s="2442"/>
      <c r="J1365" s="2443"/>
      <c r="K1365" s="2444"/>
      <c r="L1365" s="2888" t="s">
        <v>676</v>
      </c>
      <c r="M1365" s="2890"/>
      <c r="N1365" s="2271" t="s">
        <v>676</v>
      </c>
      <c r="O1365" s="2271" t="s">
        <v>676</v>
      </c>
      <c r="P1365" s="2933"/>
      <c r="Q1365" s="2272" t="s">
        <v>676</v>
      </c>
      <c r="R1365" s="2270" t="s">
        <v>2769</v>
      </c>
      <c r="S1365" s="2270">
        <v>0</v>
      </c>
      <c r="T1365" s="2271" t="s">
        <v>676</v>
      </c>
      <c r="U1365" s="2271" t="s">
        <v>676</v>
      </c>
      <c r="V1365" s="2445" t="s">
        <v>676</v>
      </c>
      <c r="W1365" s="2936"/>
    </row>
    <row r="1366" spans="4:23" ht="30">
      <c r="D1366" s="2265"/>
      <c r="E1366" s="2271" t="s">
        <v>676</v>
      </c>
      <c r="F1366" s="2446"/>
      <c r="G1366" s="2447"/>
      <c r="H1366" s="2447"/>
      <c r="I1366" s="2448"/>
      <c r="J1366" s="2449"/>
      <c r="K1366" s="2450"/>
      <c r="L1366" s="2888" t="s">
        <v>676</v>
      </c>
      <c r="M1366" s="2890"/>
      <c r="N1366" s="2271" t="s">
        <v>676</v>
      </c>
      <c r="O1366" s="2271" t="s">
        <v>676</v>
      </c>
      <c r="P1366" s="2937"/>
      <c r="Q1366" s="2272" t="s">
        <v>676</v>
      </c>
      <c r="R1366" s="2270" t="s">
        <v>2770</v>
      </c>
      <c r="S1366" s="2270">
        <v>0</v>
      </c>
      <c r="T1366" s="2271" t="s">
        <v>676</v>
      </c>
      <c r="U1366" s="2271" t="s">
        <v>676</v>
      </c>
      <c r="V1366" s="2445" t="s">
        <v>676</v>
      </c>
      <c r="W1366" s="2936"/>
    </row>
    <row r="1367" spans="4:23" ht="30">
      <c r="D1367" s="2265"/>
      <c r="E1367" s="2268">
        <v>2</v>
      </c>
      <c r="F1367" s="2930" t="s">
        <v>3151</v>
      </c>
      <c r="G1367" s="2931"/>
      <c r="H1367" s="2931"/>
      <c r="I1367" s="2932"/>
      <c r="J1367" s="2930" t="s">
        <v>3152</v>
      </c>
      <c r="K1367" s="2932"/>
      <c r="L1367" s="2882" t="s">
        <v>2762</v>
      </c>
      <c r="M1367" s="2884"/>
      <c r="N1367" s="2268" t="s">
        <v>2763</v>
      </c>
      <c r="O1367" s="2268" t="s">
        <v>2764</v>
      </c>
      <c r="P1367" s="2882" t="s">
        <v>2776</v>
      </c>
      <c r="Q1367" s="2269">
        <v>228340</v>
      </c>
      <c r="R1367" s="2270" t="s">
        <v>2766</v>
      </c>
      <c r="S1367" s="2270">
        <v>228340</v>
      </c>
      <c r="T1367" s="2268" t="s">
        <v>688</v>
      </c>
      <c r="U1367" s="2268" t="s">
        <v>2799</v>
      </c>
      <c r="V1367" s="2440" t="s">
        <v>2768</v>
      </c>
      <c r="W1367" s="2935" t="s">
        <v>3150</v>
      </c>
    </row>
    <row r="1368" spans="4:23" ht="30">
      <c r="D1368" s="2265"/>
      <c r="E1368" s="2271" t="s">
        <v>676</v>
      </c>
      <c r="F1368" s="2451"/>
      <c r="G1368" s="2306"/>
      <c r="H1368" s="2306"/>
      <c r="I1368" s="2452"/>
      <c r="J1368" s="2443"/>
      <c r="K1368" s="2444"/>
      <c r="L1368" s="2888" t="s">
        <v>676</v>
      </c>
      <c r="M1368" s="2890"/>
      <c r="N1368" s="2271" t="s">
        <v>676</v>
      </c>
      <c r="O1368" s="2271" t="s">
        <v>676</v>
      </c>
      <c r="P1368" s="2933"/>
      <c r="Q1368" s="2272" t="s">
        <v>676</v>
      </c>
      <c r="R1368" s="2270" t="s">
        <v>2769</v>
      </c>
      <c r="S1368" s="2270">
        <v>0</v>
      </c>
      <c r="T1368" s="2271" t="s">
        <v>676</v>
      </c>
      <c r="U1368" s="2271" t="s">
        <v>676</v>
      </c>
      <c r="V1368" s="2445" t="s">
        <v>676</v>
      </c>
      <c r="W1368" s="2936"/>
    </row>
    <row r="1369" spans="4:23" ht="30">
      <c r="D1369" s="2265"/>
      <c r="E1369" s="2271" t="s">
        <v>676</v>
      </c>
      <c r="F1369" s="2453"/>
      <c r="G1369" s="2454"/>
      <c r="H1369" s="2454"/>
      <c r="I1369" s="2455"/>
      <c r="J1369" s="2449"/>
      <c r="K1369" s="2450"/>
      <c r="L1369" s="2888" t="s">
        <v>676</v>
      </c>
      <c r="M1369" s="2890"/>
      <c r="N1369" s="2271" t="s">
        <v>676</v>
      </c>
      <c r="O1369" s="2271" t="s">
        <v>676</v>
      </c>
      <c r="P1369" s="2937"/>
      <c r="Q1369" s="2272" t="s">
        <v>676</v>
      </c>
      <c r="R1369" s="2270" t="s">
        <v>2770</v>
      </c>
      <c r="S1369" s="2270">
        <v>0</v>
      </c>
      <c r="T1369" s="2271" t="s">
        <v>676</v>
      </c>
      <c r="U1369" s="2271" t="s">
        <v>676</v>
      </c>
      <c r="V1369" s="2445" t="s">
        <v>676</v>
      </c>
      <c r="W1369" s="2936"/>
    </row>
    <row r="1370" spans="4:23" ht="30">
      <c r="D1370" s="2265"/>
      <c r="E1370" s="2268">
        <v>3</v>
      </c>
      <c r="F1370" s="2930" t="s">
        <v>3153</v>
      </c>
      <c r="G1370" s="2931"/>
      <c r="H1370" s="2931"/>
      <c r="I1370" s="2932"/>
      <c r="J1370" s="2882" t="s">
        <v>3154</v>
      </c>
      <c r="K1370" s="2884"/>
      <c r="L1370" s="2882" t="s">
        <v>2762</v>
      </c>
      <c r="M1370" s="2884"/>
      <c r="N1370" s="2268" t="s">
        <v>2763</v>
      </c>
      <c r="O1370" s="2268" t="s">
        <v>2764</v>
      </c>
      <c r="P1370" s="2882" t="s">
        <v>2765</v>
      </c>
      <c r="Q1370" s="2269">
        <v>80000</v>
      </c>
      <c r="R1370" s="2270" t="s">
        <v>2766</v>
      </c>
      <c r="S1370" s="2270">
        <v>80000</v>
      </c>
      <c r="T1370" s="2268"/>
      <c r="U1370" s="2268" t="s">
        <v>2932</v>
      </c>
      <c r="V1370" s="2440" t="s">
        <v>2768</v>
      </c>
      <c r="W1370" s="2935" t="s">
        <v>3150</v>
      </c>
    </row>
    <row r="1371" spans="4:23" ht="30">
      <c r="D1371" s="2265"/>
      <c r="E1371" s="2271" t="s">
        <v>676</v>
      </c>
      <c r="F1371" s="2451"/>
      <c r="G1371" s="2306"/>
      <c r="H1371" s="2306"/>
      <c r="I1371" s="2452"/>
      <c r="J1371" s="2888" t="s">
        <v>676</v>
      </c>
      <c r="K1371" s="2890"/>
      <c r="L1371" s="2888" t="s">
        <v>676</v>
      </c>
      <c r="M1371" s="2890"/>
      <c r="N1371" s="2271" t="s">
        <v>676</v>
      </c>
      <c r="O1371" s="2271" t="s">
        <v>676</v>
      </c>
      <c r="P1371" s="2933"/>
      <c r="Q1371" s="2272" t="s">
        <v>676</v>
      </c>
      <c r="R1371" s="2270" t="s">
        <v>2769</v>
      </c>
      <c r="S1371" s="2270">
        <v>0</v>
      </c>
      <c r="T1371" s="2271" t="s">
        <v>676</v>
      </c>
      <c r="U1371" s="2271" t="s">
        <v>676</v>
      </c>
      <c r="V1371" s="2445" t="s">
        <v>676</v>
      </c>
      <c r="W1371" s="2936"/>
    </row>
    <row r="1372" spans="4:23" ht="30">
      <c r="D1372" s="2265"/>
      <c r="E1372" s="2271" t="s">
        <v>676</v>
      </c>
      <c r="F1372" s="2453"/>
      <c r="G1372" s="2454"/>
      <c r="H1372" s="2454"/>
      <c r="I1372" s="2455"/>
      <c r="J1372" s="2892" t="s">
        <v>676</v>
      </c>
      <c r="K1372" s="2889"/>
      <c r="L1372" s="2888" t="s">
        <v>676</v>
      </c>
      <c r="M1372" s="2890"/>
      <c r="N1372" s="2271" t="s">
        <v>676</v>
      </c>
      <c r="O1372" s="2271" t="s">
        <v>676</v>
      </c>
      <c r="P1372" s="2937"/>
      <c r="Q1372" s="2272" t="s">
        <v>676</v>
      </c>
      <c r="R1372" s="2270" t="s">
        <v>2770</v>
      </c>
      <c r="S1372" s="2270">
        <v>0</v>
      </c>
      <c r="T1372" s="2271" t="s">
        <v>676</v>
      </c>
      <c r="U1372" s="2271" t="s">
        <v>676</v>
      </c>
      <c r="V1372" s="2445" t="s">
        <v>676</v>
      </c>
      <c r="W1372" s="2936"/>
    </row>
    <row r="1373" spans="4:23" ht="30">
      <c r="D1373" s="2265"/>
      <c r="E1373" s="2268">
        <v>4</v>
      </c>
      <c r="F1373" s="2930" t="s">
        <v>3155</v>
      </c>
      <c r="G1373" s="2931"/>
      <c r="H1373" s="2931"/>
      <c r="I1373" s="2932"/>
      <c r="J1373" s="2930" t="s">
        <v>3156</v>
      </c>
      <c r="K1373" s="2932"/>
      <c r="L1373" s="2882" t="s">
        <v>2762</v>
      </c>
      <c r="M1373" s="2884"/>
      <c r="N1373" s="2268" t="s">
        <v>2763</v>
      </c>
      <c r="O1373" s="2268" t="s">
        <v>2775</v>
      </c>
      <c r="P1373" s="2882" t="s">
        <v>2776</v>
      </c>
      <c r="Q1373" s="2269">
        <v>200000</v>
      </c>
      <c r="R1373" s="2270" t="s">
        <v>2766</v>
      </c>
      <c r="S1373" s="2270">
        <v>200000</v>
      </c>
      <c r="T1373" s="2268" t="s">
        <v>688</v>
      </c>
      <c r="U1373" s="2268" t="s">
        <v>2932</v>
      </c>
      <c r="V1373" s="2440" t="s">
        <v>2768</v>
      </c>
      <c r="W1373" s="2935" t="s">
        <v>3150</v>
      </c>
    </row>
    <row r="1374" spans="4:23" ht="30">
      <c r="D1374" s="2265"/>
      <c r="E1374" s="2271" t="s">
        <v>676</v>
      </c>
      <c r="F1374" s="2451"/>
      <c r="G1374" s="2306"/>
      <c r="H1374" s="2306"/>
      <c r="I1374" s="2452"/>
      <c r="J1374" s="2443"/>
      <c r="K1374" s="2444"/>
      <c r="L1374" s="2888" t="s">
        <v>676</v>
      </c>
      <c r="M1374" s="2890"/>
      <c r="N1374" s="2271" t="s">
        <v>676</v>
      </c>
      <c r="O1374" s="2271" t="s">
        <v>676</v>
      </c>
      <c r="P1374" s="2933"/>
      <c r="Q1374" s="2272" t="s">
        <v>676</v>
      </c>
      <c r="R1374" s="2270" t="s">
        <v>2769</v>
      </c>
      <c r="S1374" s="2270">
        <v>0</v>
      </c>
      <c r="T1374" s="2271" t="s">
        <v>676</v>
      </c>
      <c r="U1374" s="2271" t="s">
        <v>676</v>
      </c>
      <c r="V1374" s="2445" t="s">
        <v>676</v>
      </c>
      <c r="W1374" s="2936"/>
    </row>
    <row r="1375" spans="4:23" ht="30">
      <c r="D1375" s="2265"/>
      <c r="E1375" s="2271" t="s">
        <v>676</v>
      </c>
      <c r="F1375" s="2453"/>
      <c r="G1375" s="2454"/>
      <c r="H1375" s="2454"/>
      <c r="I1375" s="2455"/>
      <c r="J1375" s="2449"/>
      <c r="K1375" s="2450"/>
      <c r="L1375" s="2888" t="s">
        <v>676</v>
      </c>
      <c r="M1375" s="2890"/>
      <c r="N1375" s="2271" t="s">
        <v>676</v>
      </c>
      <c r="O1375" s="2271" t="s">
        <v>676</v>
      </c>
      <c r="P1375" s="2937"/>
      <c r="Q1375" s="2272" t="s">
        <v>676</v>
      </c>
      <c r="R1375" s="2270" t="s">
        <v>2770</v>
      </c>
      <c r="S1375" s="2270">
        <v>0</v>
      </c>
      <c r="T1375" s="2271" t="s">
        <v>676</v>
      </c>
      <c r="U1375" s="2271" t="s">
        <v>676</v>
      </c>
      <c r="V1375" s="2445" t="s">
        <v>676</v>
      </c>
      <c r="W1375" s="2936"/>
    </row>
    <row r="1376" spans="4:23" ht="30">
      <c r="D1376" s="2265"/>
      <c r="E1376" s="2268">
        <v>5</v>
      </c>
      <c r="F1376" s="2930" t="s">
        <v>3157</v>
      </c>
      <c r="G1376" s="2931"/>
      <c r="H1376" s="2931"/>
      <c r="I1376" s="2932"/>
      <c r="J1376" s="2930" t="s">
        <v>3158</v>
      </c>
      <c r="K1376" s="2932"/>
      <c r="L1376" s="2882" t="s">
        <v>2762</v>
      </c>
      <c r="M1376" s="2884"/>
      <c r="N1376" s="2268" t="s">
        <v>2763</v>
      </c>
      <c r="O1376" s="2268" t="s">
        <v>2775</v>
      </c>
      <c r="P1376" s="2882" t="s">
        <v>2765</v>
      </c>
      <c r="Q1376" s="2269">
        <v>30000</v>
      </c>
      <c r="R1376" s="2270" t="s">
        <v>2766</v>
      </c>
      <c r="S1376" s="2270">
        <v>30000</v>
      </c>
      <c r="T1376" s="2268"/>
      <c r="U1376" s="2268" t="s">
        <v>2932</v>
      </c>
      <c r="V1376" s="2440" t="s">
        <v>2768</v>
      </c>
      <c r="W1376" s="2935" t="s">
        <v>3150</v>
      </c>
    </row>
    <row r="1377" spans="4:23" ht="30">
      <c r="D1377" s="2265"/>
      <c r="E1377" s="2271" t="s">
        <v>676</v>
      </c>
      <c r="F1377" s="2451"/>
      <c r="G1377" s="2306"/>
      <c r="H1377" s="2306"/>
      <c r="I1377" s="2452"/>
      <c r="J1377" s="2443"/>
      <c r="K1377" s="2444"/>
      <c r="L1377" s="2888" t="s">
        <v>676</v>
      </c>
      <c r="M1377" s="2890"/>
      <c r="N1377" s="2271" t="s">
        <v>676</v>
      </c>
      <c r="O1377" s="2271" t="s">
        <v>676</v>
      </c>
      <c r="P1377" s="2933"/>
      <c r="Q1377" s="2272" t="s">
        <v>676</v>
      </c>
      <c r="R1377" s="2270" t="s">
        <v>2769</v>
      </c>
      <c r="S1377" s="2270">
        <v>0</v>
      </c>
      <c r="T1377" s="2271" t="s">
        <v>676</v>
      </c>
      <c r="U1377" s="2271" t="s">
        <v>676</v>
      </c>
      <c r="V1377" s="2445" t="s">
        <v>676</v>
      </c>
      <c r="W1377" s="2936"/>
    </row>
    <row r="1378" spans="4:23" ht="30">
      <c r="D1378" s="2265"/>
      <c r="E1378" s="2271" t="s">
        <v>676</v>
      </c>
      <c r="F1378" s="2453"/>
      <c r="G1378" s="2454"/>
      <c r="H1378" s="2454"/>
      <c r="I1378" s="2455"/>
      <c r="J1378" s="2449"/>
      <c r="K1378" s="2450"/>
      <c r="L1378" s="2888" t="s">
        <v>676</v>
      </c>
      <c r="M1378" s="2890"/>
      <c r="N1378" s="2271" t="s">
        <v>676</v>
      </c>
      <c r="O1378" s="2271" t="s">
        <v>676</v>
      </c>
      <c r="P1378" s="2937"/>
      <c r="Q1378" s="2272" t="s">
        <v>676</v>
      </c>
      <c r="R1378" s="2270" t="s">
        <v>2770</v>
      </c>
      <c r="S1378" s="2270">
        <v>0</v>
      </c>
      <c r="T1378" s="2271" t="s">
        <v>676</v>
      </c>
      <c r="U1378" s="2271" t="s">
        <v>676</v>
      </c>
      <c r="V1378" s="2445" t="s">
        <v>676</v>
      </c>
      <c r="W1378" s="2936"/>
    </row>
    <row r="1379" spans="4:23" ht="30">
      <c r="D1379" s="2265"/>
      <c r="E1379" s="2268">
        <v>6</v>
      </c>
      <c r="F1379" s="2930" t="s">
        <v>3159</v>
      </c>
      <c r="G1379" s="2931"/>
      <c r="H1379" s="2931"/>
      <c r="I1379" s="2932"/>
      <c r="J1379" s="2930" t="s">
        <v>3160</v>
      </c>
      <c r="K1379" s="2932"/>
      <c r="L1379" s="2882" t="s">
        <v>2762</v>
      </c>
      <c r="M1379" s="2884"/>
      <c r="N1379" s="2268" t="s">
        <v>2763</v>
      </c>
      <c r="O1379" s="2268" t="s">
        <v>2764</v>
      </c>
      <c r="P1379" s="2882" t="s">
        <v>2765</v>
      </c>
      <c r="Q1379" s="2269">
        <v>80000</v>
      </c>
      <c r="R1379" s="2270" t="s">
        <v>2766</v>
      </c>
      <c r="S1379" s="2270">
        <v>80000</v>
      </c>
      <c r="T1379" s="2268"/>
      <c r="U1379" s="2268" t="s">
        <v>2863</v>
      </c>
      <c r="V1379" s="2440" t="s">
        <v>2768</v>
      </c>
      <c r="W1379" s="2935" t="s">
        <v>3150</v>
      </c>
    </row>
    <row r="1380" spans="4:23" ht="30">
      <c r="D1380" s="2265"/>
      <c r="E1380" s="2271" t="s">
        <v>676</v>
      </c>
      <c r="F1380" s="2451"/>
      <c r="G1380" s="2306"/>
      <c r="H1380" s="2306"/>
      <c r="I1380" s="2452"/>
      <c r="J1380" s="2443"/>
      <c r="K1380" s="2444"/>
      <c r="L1380" s="2888" t="s">
        <v>676</v>
      </c>
      <c r="M1380" s="2890"/>
      <c r="N1380" s="2271" t="s">
        <v>676</v>
      </c>
      <c r="O1380" s="2271" t="s">
        <v>676</v>
      </c>
      <c r="P1380" s="2933"/>
      <c r="Q1380" s="2272" t="s">
        <v>676</v>
      </c>
      <c r="R1380" s="2270" t="s">
        <v>2769</v>
      </c>
      <c r="S1380" s="2270">
        <v>0</v>
      </c>
      <c r="T1380" s="2271" t="s">
        <v>676</v>
      </c>
      <c r="U1380" s="2271" t="s">
        <v>676</v>
      </c>
      <c r="V1380" s="2445" t="s">
        <v>676</v>
      </c>
      <c r="W1380" s="2936"/>
    </row>
    <row r="1381" spans="4:23" ht="30">
      <c r="D1381" s="2265"/>
      <c r="E1381" s="2456" t="s">
        <v>676</v>
      </c>
      <c r="F1381" s="2457"/>
      <c r="G1381" s="2458"/>
      <c r="H1381" s="2458"/>
      <c r="I1381" s="2459"/>
      <c r="J1381" s="2457"/>
      <c r="K1381" s="2459"/>
      <c r="L1381" s="2885" t="s">
        <v>676</v>
      </c>
      <c r="M1381" s="2887"/>
      <c r="N1381" s="2456" t="s">
        <v>676</v>
      </c>
      <c r="O1381" s="2456" t="s">
        <v>676</v>
      </c>
      <c r="P1381" s="2934"/>
      <c r="Q1381" s="2460" t="s">
        <v>676</v>
      </c>
      <c r="R1381" s="2461" t="s">
        <v>2770</v>
      </c>
      <c r="S1381" s="2461">
        <v>0</v>
      </c>
      <c r="T1381" s="2456" t="s">
        <v>676</v>
      </c>
      <c r="U1381" s="2456" t="s">
        <v>676</v>
      </c>
      <c r="V1381" s="2462" t="s">
        <v>676</v>
      </c>
      <c r="W1381" s="2936"/>
    </row>
    <row r="1382" spans="4:23" ht="30">
      <c r="D1382" s="2412"/>
      <c r="E1382" s="2416"/>
      <c r="F1382" s="2463" t="s">
        <v>82</v>
      </c>
      <c r="G1382" s="2464"/>
      <c r="H1382" s="2372"/>
      <c r="I1382" s="2372"/>
      <c r="J1382" s="2372"/>
      <c r="K1382" s="2372"/>
      <c r="L1382" s="2373"/>
      <c r="M1382" s="2373"/>
      <c r="N1382" s="2373"/>
      <c r="O1382" s="2372"/>
      <c r="P1382" s="2372"/>
      <c r="Q1382" s="2373">
        <f>SUM(Q1364:Q1381)</f>
        <v>698340</v>
      </c>
      <c r="R1382" s="2373"/>
      <c r="S1382" s="2374">
        <f>SUM(S1364:S1381)</f>
        <v>698340</v>
      </c>
      <c r="T1382" s="2375"/>
      <c r="U1382" s="2375"/>
      <c r="V1382" s="2375"/>
      <c r="W1382" s="2411"/>
    </row>
    <row r="1383" spans="4:23" ht="20.25">
      <c r="D1383" s="2381"/>
      <c r="E1383" s="2377"/>
      <c r="F1383" s="2378"/>
      <c r="G1383" s="2377"/>
      <c r="H1383" s="2377"/>
      <c r="I1383" s="2378"/>
      <c r="J1383" s="2377"/>
      <c r="K1383" s="2377"/>
      <c r="L1383" s="2377"/>
      <c r="M1383" s="2377"/>
      <c r="N1383" s="2381"/>
      <c r="O1383" s="2381"/>
      <c r="P1383" s="2381"/>
      <c r="Q1383" s="2381"/>
      <c r="R1383" s="2284" t="s">
        <v>2789</v>
      </c>
      <c r="S1383" s="2381"/>
      <c r="T1383" s="2381"/>
      <c r="U1383" s="2381"/>
      <c r="V1383" s="2381"/>
      <c r="W1383" s="2381"/>
    </row>
    <row r="1384" spans="4:23" ht="20.25">
      <c r="D1384" s="2381"/>
      <c r="E1384" s="2381"/>
      <c r="F1384" s="2381"/>
      <c r="G1384" s="2381"/>
      <c r="H1384" s="2381"/>
      <c r="I1384" s="2381"/>
      <c r="J1384" s="2381"/>
      <c r="K1384" s="2381"/>
      <c r="L1384" s="2381"/>
      <c r="M1384" s="2381"/>
      <c r="N1384" s="2381"/>
      <c r="O1384" s="2381"/>
      <c r="P1384" s="2381"/>
      <c r="Q1384" s="2381"/>
      <c r="R1384" s="2284" t="s">
        <v>2790</v>
      </c>
      <c r="S1384" s="2381"/>
      <c r="T1384" s="2381"/>
      <c r="U1384" s="2381"/>
      <c r="V1384" s="2381"/>
      <c r="W1384" s="2381"/>
    </row>
    <row r="1385" spans="4:23" ht="20.25">
      <c r="D1385" s="2911" t="s">
        <v>2749</v>
      </c>
      <c r="E1385" s="2911"/>
      <c r="F1385" s="2911"/>
      <c r="G1385" s="2911"/>
      <c r="H1385" s="2911"/>
      <c r="I1385" s="2911"/>
      <c r="J1385" s="2911"/>
      <c r="K1385" s="2265"/>
      <c r="L1385" s="2265"/>
      <c r="M1385" s="2265"/>
      <c r="N1385" s="2265"/>
      <c r="O1385" s="2265"/>
      <c r="P1385" s="2265"/>
      <c r="Q1385" s="2307"/>
      <c r="R1385" s="2307"/>
      <c r="S1385" s="2307"/>
      <c r="T1385" s="2265"/>
      <c r="U1385" s="2265"/>
      <c r="V1385" s="2265"/>
      <c r="W1385" s="2265"/>
    </row>
    <row r="1386" spans="4:23" ht="15">
      <c r="D1386" s="1586"/>
      <c r="E1386" s="1586"/>
      <c r="F1386" s="1586"/>
      <c r="G1386" s="1586"/>
      <c r="H1386" s="1586"/>
      <c r="I1386" s="1586"/>
      <c r="J1386" s="1586"/>
      <c r="K1386" s="1586"/>
      <c r="L1386" s="1586"/>
      <c r="M1386" s="1586"/>
      <c r="N1386" s="1586"/>
      <c r="O1386" s="1586"/>
      <c r="P1386" s="1586"/>
      <c r="Q1386" s="2314"/>
      <c r="R1386" s="2314"/>
      <c r="S1386" s="2314"/>
      <c r="T1386" s="1586"/>
      <c r="U1386" s="1586"/>
      <c r="V1386" s="1586"/>
      <c r="W1386" s="1586"/>
    </row>
    <row r="1387" spans="4:23" ht="15.75">
      <c r="D1387" s="2912" t="s">
        <v>653</v>
      </c>
      <c r="E1387" s="2912"/>
      <c r="F1387" s="2912"/>
      <c r="G1387" s="1586"/>
      <c r="H1387" s="2315">
        <v>2020</v>
      </c>
      <c r="I1387" s="1586"/>
      <c r="J1387" s="1586"/>
      <c r="K1387" s="1586"/>
      <c r="L1387" s="1586"/>
      <c r="M1387" s="1586"/>
      <c r="N1387" s="1586"/>
      <c r="O1387" s="1586"/>
      <c r="P1387" s="1586"/>
      <c r="Q1387" s="2314"/>
      <c r="R1387" s="2314"/>
      <c r="S1387" s="2314"/>
      <c r="T1387" s="1586"/>
      <c r="U1387" s="1586"/>
      <c r="V1387" s="1586"/>
      <c r="W1387" s="1586"/>
    </row>
    <row r="1388" spans="4:23" ht="15">
      <c r="D1388" s="1586"/>
      <c r="E1388" s="1586"/>
      <c r="F1388" s="1586"/>
      <c r="G1388" s="1586"/>
      <c r="H1388" s="1586"/>
      <c r="I1388" s="1586"/>
      <c r="J1388" s="1586"/>
      <c r="K1388" s="1586"/>
      <c r="L1388" s="1586"/>
      <c r="M1388" s="1586"/>
      <c r="N1388" s="1586"/>
      <c r="O1388" s="1586"/>
      <c r="P1388" s="1586"/>
      <c r="Q1388" s="2314"/>
      <c r="R1388" s="2314"/>
      <c r="S1388" s="2314"/>
      <c r="T1388" s="1586"/>
      <c r="U1388" s="1586"/>
      <c r="V1388" s="1586"/>
      <c r="W1388" s="1586"/>
    </row>
    <row r="1389" spans="4:23" ht="15.75">
      <c r="D1389" s="2912" t="s">
        <v>655</v>
      </c>
      <c r="E1389" s="2912"/>
      <c r="F1389" s="2912"/>
      <c r="G1389" s="1586"/>
      <c r="H1389" s="2913" t="s">
        <v>3161</v>
      </c>
      <c r="I1389" s="2914"/>
      <c r="J1389" s="2914"/>
      <c r="K1389" s="2914"/>
      <c r="L1389" s="2914"/>
      <c r="M1389" s="1586"/>
      <c r="N1389" s="1586"/>
      <c r="O1389" s="1586"/>
      <c r="P1389" s="1586"/>
      <c r="Q1389" s="2314"/>
      <c r="R1389" s="2314"/>
      <c r="S1389" s="2314"/>
      <c r="T1389" s="1586"/>
      <c r="U1389" s="1586"/>
      <c r="V1389" s="1586"/>
      <c r="W1389" s="1586"/>
    </row>
    <row r="1390" spans="4:23" ht="15">
      <c r="D1390" s="1586"/>
      <c r="E1390" s="1586"/>
      <c r="F1390" s="1586"/>
      <c r="G1390" s="1586"/>
      <c r="H1390" s="1586"/>
      <c r="I1390" s="1586"/>
      <c r="J1390" s="1586"/>
      <c r="K1390" s="1586"/>
      <c r="L1390" s="1586"/>
      <c r="M1390" s="1586"/>
      <c r="N1390" s="1586"/>
      <c r="O1390" s="1586"/>
      <c r="P1390" s="1586"/>
      <c r="Q1390" s="2314"/>
      <c r="R1390" s="2314"/>
      <c r="S1390" s="2314"/>
      <c r="T1390" s="1586"/>
      <c r="U1390" s="1586"/>
      <c r="V1390" s="1586"/>
      <c r="W1390" s="1586"/>
    </row>
    <row r="1391" spans="4:23" ht="78.75">
      <c r="D1391" s="2316"/>
      <c r="E1391" s="2266" t="s">
        <v>657</v>
      </c>
      <c r="F1391" s="2893" t="s">
        <v>587</v>
      </c>
      <c r="G1391" s="2909"/>
      <c r="H1391" s="2909"/>
      <c r="I1391" s="2910"/>
      <c r="J1391" s="2893" t="s">
        <v>2751</v>
      </c>
      <c r="K1391" s="2910"/>
      <c r="L1391" s="2893" t="s">
        <v>2752</v>
      </c>
      <c r="M1391" s="2910"/>
      <c r="N1391" s="2266" t="s">
        <v>2753</v>
      </c>
      <c r="O1391" s="2266" t="s">
        <v>2754</v>
      </c>
      <c r="P1391" s="2266" t="s">
        <v>2755</v>
      </c>
      <c r="Q1391" s="2267" t="s">
        <v>2756</v>
      </c>
      <c r="R1391" s="2267" t="s">
        <v>2757</v>
      </c>
      <c r="S1391" s="2267" t="s">
        <v>2758</v>
      </c>
      <c r="T1391" s="2266" t="s">
        <v>623</v>
      </c>
      <c r="U1391" s="2266" t="s">
        <v>2759</v>
      </c>
      <c r="V1391" s="2266" t="s">
        <v>2760</v>
      </c>
      <c r="W1391" s="2266" t="s">
        <v>2761</v>
      </c>
    </row>
    <row r="1392" spans="4:23" ht="45">
      <c r="D1392" s="2316"/>
      <c r="E1392" s="2268">
        <v>1</v>
      </c>
      <c r="F1392" s="2882" t="s">
        <v>3162</v>
      </c>
      <c r="G1392" s="2905"/>
      <c r="H1392" s="2905"/>
      <c r="I1392" s="2906"/>
      <c r="J1392" s="2882" t="s">
        <v>3163</v>
      </c>
      <c r="K1392" s="2906"/>
      <c r="L1392" s="2882" t="s">
        <v>2762</v>
      </c>
      <c r="M1392" s="2906"/>
      <c r="N1392" s="2268" t="s">
        <v>2763</v>
      </c>
      <c r="O1392" s="2268" t="s">
        <v>2775</v>
      </c>
      <c r="P1392" s="2268" t="s">
        <v>2765</v>
      </c>
      <c r="Q1392" s="2269">
        <v>20000</v>
      </c>
      <c r="R1392" s="2270" t="s">
        <v>2766</v>
      </c>
      <c r="S1392" s="2270">
        <v>20000</v>
      </c>
      <c r="T1392" s="2268"/>
      <c r="U1392" s="2268" t="s">
        <v>2767</v>
      </c>
      <c r="V1392" s="2268" t="s">
        <v>2768</v>
      </c>
      <c r="W1392" s="2268"/>
    </row>
    <row r="1393" spans="4:23" ht="30">
      <c r="D1393" s="2316"/>
      <c r="E1393" s="2271" t="s">
        <v>676</v>
      </c>
      <c r="F1393" s="2888" t="s">
        <v>676</v>
      </c>
      <c r="G1393" s="2907"/>
      <c r="H1393" s="2907"/>
      <c r="I1393" s="2908"/>
      <c r="J1393" s="2888" t="s">
        <v>676</v>
      </c>
      <c r="K1393" s="2908"/>
      <c r="L1393" s="2888" t="s">
        <v>676</v>
      </c>
      <c r="M1393" s="2908"/>
      <c r="N1393" s="2271" t="s">
        <v>676</v>
      </c>
      <c r="O1393" s="2271" t="s">
        <v>676</v>
      </c>
      <c r="P1393" s="2271" t="s">
        <v>676</v>
      </c>
      <c r="Q1393" s="2272" t="s">
        <v>676</v>
      </c>
      <c r="R1393" s="2270" t="s">
        <v>2769</v>
      </c>
      <c r="S1393" s="2270">
        <v>0</v>
      </c>
      <c r="T1393" s="2271" t="s">
        <v>676</v>
      </c>
      <c r="U1393" s="2271" t="s">
        <v>676</v>
      </c>
      <c r="V1393" s="2271" t="s">
        <v>676</v>
      </c>
      <c r="W1393" s="2271" t="s">
        <v>676</v>
      </c>
    </row>
    <row r="1394" spans="4:23" ht="30">
      <c r="D1394" s="2316"/>
      <c r="E1394" s="2271" t="s">
        <v>676</v>
      </c>
      <c r="F1394" s="2891" t="s">
        <v>676</v>
      </c>
      <c r="G1394" s="2907"/>
      <c r="H1394" s="2907"/>
      <c r="I1394" s="2908"/>
      <c r="J1394" s="2892" t="s">
        <v>676</v>
      </c>
      <c r="K1394" s="2907"/>
      <c r="L1394" s="2888" t="s">
        <v>676</v>
      </c>
      <c r="M1394" s="2908"/>
      <c r="N1394" s="2271" t="s">
        <v>676</v>
      </c>
      <c r="O1394" s="2271" t="s">
        <v>676</v>
      </c>
      <c r="P1394" s="2271" t="s">
        <v>676</v>
      </c>
      <c r="Q1394" s="2272" t="s">
        <v>676</v>
      </c>
      <c r="R1394" s="2270" t="s">
        <v>2770</v>
      </c>
      <c r="S1394" s="2270">
        <v>0</v>
      </c>
      <c r="T1394" s="2271" t="s">
        <v>676</v>
      </c>
      <c r="U1394" s="2271" t="s">
        <v>676</v>
      </c>
      <c r="V1394" s="2271" t="s">
        <v>676</v>
      </c>
      <c r="W1394" s="2271" t="s">
        <v>676</v>
      </c>
    </row>
    <row r="1395" spans="4:23" ht="45">
      <c r="D1395" s="2316"/>
      <c r="E1395" s="2268">
        <v>2</v>
      </c>
      <c r="F1395" s="2882" t="s">
        <v>3164</v>
      </c>
      <c r="G1395" s="2905"/>
      <c r="H1395" s="2905"/>
      <c r="I1395" s="2906"/>
      <c r="J1395" s="2882" t="s">
        <v>3165</v>
      </c>
      <c r="K1395" s="2906"/>
      <c r="L1395" s="2882" t="s">
        <v>2762</v>
      </c>
      <c r="M1395" s="2906"/>
      <c r="N1395" s="2268" t="s">
        <v>2763</v>
      </c>
      <c r="O1395" s="2268" t="s">
        <v>2775</v>
      </c>
      <c r="P1395" s="2268" t="s">
        <v>2765</v>
      </c>
      <c r="Q1395" s="2269">
        <v>100000</v>
      </c>
      <c r="R1395" s="2270" t="s">
        <v>2766</v>
      </c>
      <c r="S1395" s="2270">
        <v>100000</v>
      </c>
      <c r="T1395" s="2268"/>
      <c r="U1395" s="2268" t="s">
        <v>2767</v>
      </c>
      <c r="V1395" s="2268" t="s">
        <v>2768</v>
      </c>
      <c r="W1395" s="2268"/>
    </row>
    <row r="1396" spans="4:23" ht="30">
      <c r="D1396" s="2316"/>
      <c r="E1396" s="2271" t="s">
        <v>676</v>
      </c>
      <c r="F1396" s="2888" t="s">
        <v>676</v>
      </c>
      <c r="G1396" s="2907"/>
      <c r="H1396" s="2907"/>
      <c r="I1396" s="2908"/>
      <c r="J1396" s="2888" t="s">
        <v>676</v>
      </c>
      <c r="K1396" s="2908"/>
      <c r="L1396" s="2888" t="s">
        <v>676</v>
      </c>
      <c r="M1396" s="2908"/>
      <c r="N1396" s="2271" t="s">
        <v>676</v>
      </c>
      <c r="O1396" s="2271" t="s">
        <v>676</v>
      </c>
      <c r="P1396" s="2271" t="s">
        <v>676</v>
      </c>
      <c r="Q1396" s="2272" t="s">
        <v>676</v>
      </c>
      <c r="R1396" s="2270" t="s">
        <v>2769</v>
      </c>
      <c r="S1396" s="2270">
        <v>0</v>
      </c>
      <c r="T1396" s="2271" t="s">
        <v>676</v>
      </c>
      <c r="U1396" s="2271" t="s">
        <v>676</v>
      </c>
      <c r="V1396" s="2271" t="s">
        <v>676</v>
      </c>
      <c r="W1396" s="2271" t="s">
        <v>676</v>
      </c>
    </row>
    <row r="1397" spans="4:23" ht="30">
      <c r="D1397" s="2316"/>
      <c r="E1397" s="2271" t="s">
        <v>676</v>
      </c>
      <c r="F1397" s="2891" t="s">
        <v>676</v>
      </c>
      <c r="G1397" s="2907"/>
      <c r="H1397" s="2907"/>
      <c r="I1397" s="2908"/>
      <c r="J1397" s="2892" t="s">
        <v>676</v>
      </c>
      <c r="K1397" s="2907"/>
      <c r="L1397" s="2888" t="s">
        <v>676</v>
      </c>
      <c r="M1397" s="2908"/>
      <c r="N1397" s="2271" t="s">
        <v>676</v>
      </c>
      <c r="O1397" s="2271" t="s">
        <v>676</v>
      </c>
      <c r="P1397" s="2271" t="s">
        <v>676</v>
      </c>
      <c r="Q1397" s="2272" t="s">
        <v>676</v>
      </c>
      <c r="R1397" s="2270" t="s">
        <v>2770</v>
      </c>
      <c r="S1397" s="2270">
        <v>0</v>
      </c>
      <c r="T1397" s="2271" t="s">
        <v>676</v>
      </c>
      <c r="U1397" s="2271" t="s">
        <v>676</v>
      </c>
      <c r="V1397" s="2271" t="s">
        <v>676</v>
      </c>
      <c r="W1397" s="2271" t="s">
        <v>676</v>
      </c>
    </row>
    <row r="1398" spans="4:23" ht="45">
      <c r="D1398" s="2316"/>
      <c r="E1398" s="2268">
        <v>3</v>
      </c>
      <c r="F1398" s="2882" t="s">
        <v>3166</v>
      </c>
      <c r="G1398" s="2905"/>
      <c r="H1398" s="2905"/>
      <c r="I1398" s="2906"/>
      <c r="J1398" s="2882" t="s">
        <v>1081</v>
      </c>
      <c r="K1398" s="2906"/>
      <c r="L1398" s="2882" t="s">
        <v>2762</v>
      </c>
      <c r="M1398" s="2906"/>
      <c r="N1398" s="2268" t="s">
        <v>2763</v>
      </c>
      <c r="O1398" s="2268" t="s">
        <v>2764</v>
      </c>
      <c r="P1398" s="2268" t="s">
        <v>2765</v>
      </c>
      <c r="Q1398" s="2269">
        <v>50000</v>
      </c>
      <c r="R1398" s="2270" t="s">
        <v>2766</v>
      </c>
      <c r="S1398" s="2270">
        <v>50000</v>
      </c>
      <c r="T1398" s="2268"/>
      <c r="U1398" s="2268" t="s">
        <v>2767</v>
      </c>
      <c r="V1398" s="2268" t="s">
        <v>2768</v>
      </c>
      <c r="W1398" s="2268"/>
    </row>
    <row r="1399" spans="4:23" ht="30">
      <c r="D1399" s="2316"/>
      <c r="E1399" s="2271" t="s">
        <v>676</v>
      </c>
      <c r="F1399" s="2888" t="s">
        <v>676</v>
      </c>
      <c r="G1399" s="2907"/>
      <c r="H1399" s="2907"/>
      <c r="I1399" s="2908"/>
      <c r="J1399" s="2888" t="s">
        <v>676</v>
      </c>
      <c r="K1399" s="2908"/>
      <c r="L1399" s="2888" t="s">
        <v>676</v>
      </c>
      <c r="M1399" s="2908"/>
      <c r="N1399" s="2271" t="s">
        <v>676</v>
      </c>
      <c r="O1399" s="2271" t="s">
        <v>676</v>
      </c>
      <c r="P1399" s="2271" t="s">
        <v>676</v>
      </c>
      <c r="Q1399" s="2272" t="s">
        <v>676</v>
      </c>
      <c r="R1399" s="2270" t="s">
        <v>2769</v>
      </c>
      <c r="S1399" s="2270">
        <v>0</v>
      </c>
      <c r="T1399" s="2271" t="s">
        <v>676</v>
      </c>
      <c r="U1399" s="2271" t="s">
        <v>676</v>
      </c>
      <c r="V1399" s="2271" t="s">
        <v>676</v>
      </c>
      <c r="W1399" s="2271" t="s">
        <v>676</v>
      </c>
    </row>
    <row r="1400" spans="4:23" ht="30">
      <c r="D1400" s="2316"/>
      <c r="E1400" s="2273" t="s">
        <v>676</v>
      </c>
      <c r="F1400" s="2896" t="s">
        <v>676</v>
      </c>
      <c r="G1400" s="2897"/>
      <c r="H1400" s="2897"/>
      <c r="I1400" s="2898"/>
      <c r="J1400" s="2899" t="s">
        <v>676</v>
      </c>
      <c r="K1400" s="2897"/>
      <c r="L1400" s="2900" t="s">
        <v>676</v>
      </c>
      <c r="M1400" s="2898"/>
      <c r="N1400" s="2273" t="s">
        <v>676</v>
      </c>
      <c r="O1400" s="2273" t="s">
        <v>676</v>
      </c>
      <c r="P1400" s="2273" t="s">
        <v>676</v>
      </c>
      <c r="Q1400" s="2274" t="s">
        <v>676</v>
      </c>
      <c r="R1400" s="2270" t="s">
        <v>2770</v>
      </c>
      <c r="S1400" s="2270">
        <v>0</v>
      </c>
      <c r="T1400" s="2273" t="s">
        <v>676</v>
      </c>
      <c r="U1400" s="2273" t="s">
        <v>676</v>
      </c>
      <c r="V1400" s="2273" t="s">
        <v>676</v>
      </c>
      <c r="W1400" s="2273" t="s">
        <v>676</v>
      </c>
    </row>
    <row r="1401" spans="4:23" ht="30">
      <c r="D1401" s="1586"/>
      <c r="E1401" s="2362"/>
      <c r="F1401" s="2436" t="s">
        <v>82</v>
      </c>
      <c r="G1401" s="2437"/>
      <c r="H1401" s="2338"/>
      <c r="I1401" s="2338"/>
      <c r="J1401" s="2338"/>
      <c r="K1401" s="2338"/>
      <c r="L1401" s="2365"/>
      <c r="M1401" s="2365"/>
      <c r="N1401" s="2365"/>
      <c r="O1401" s="2338"/>
      <c r="P1401" s="2338"/>
      <c r="Q1401" s="2365">
        <f>SUM(Q1392:Q1400)</f>
        <v>170000</v>
      </c>
      <c r="R1401" s="2365"/>
      <c r="S1401" s="2340">
        <f>SUM(S1392:S1400)</f>
        <v>170000</v>
      </c>
      <c r="T1401" s="2337"/>
      <c r="U1401" s="2337"/>
      <c r="V1401" s="2337"/>
      <c r="W1401" s="2342"/>
    </row>
    <row r="1402" spans="4:23" ht="20.25">
      <c r="D1402" s="2326"/>
      <c r="E1402" s="2324"/>
      <c r="F1402" s="2325"/>
      <c r="G1402" s="2324"/>
      <c r="H1402" s="2324"/>
      <c r="I1402" s="2325"/>
      <c r="J1402" s="2324"/>
      <c r="K1402" s="2324"/>
      <c r="L1402" s="2324"/>
      <c r="M1402" s="2324"/>
      <c r="N1402" s="2326"/>
      <c r="O1402" s="2326"/>
      <c r="P1402" s="2326"/>
      <c r="Q1402" s="2326"/>
      <c r="R1402" s="2284" t="s">
        <v>2789</v>
      </c>
      <c r="S1402" s="2326"/>
      <c r="T1402" s="2326"/>
      <c r="U1402" s="2326"/>
      <c r="V1402" s="2326"/>
      <c r="W1402" s="2326"/>
    </row>
    <row r="1403" spans="4:23" ht="20.25">
      <c r="D1403" s="2326"/>
      <c r="E1403" s="2326"/>
      <c r="F1403" s="2326"/>
      <c r="G1403" s="2326"/>
      <c r="H1403" s="2326"/>
      <c r="I1403" s="2326"/>
      <c r="J1403" s="2326"/>
      <c r="K1403" s="2326"/>
      <c r="L1403" s="2326"/>
      <c r="M1403" s="2326"/>
      <c r="N1403" s="2326"/>
      <c r="O1403" s="2326"/>
      <c r="P1403" s="2326"/>
      <c r="Q1403" s="2326"/>
      <c r="R1403" s="2284" t="s">
        <v>2790</v>
      </c>
      <c r="S1403" s="2326"/>
      <c r="T1403" s="2326"/>
      <c r="U1403" s="2326"/>
      <c r="V1403" s="2326"/>
      <c r="W1403" s="2326"/>
    </row>
    <row r="1404" spans="4:23" ht="20.25">
      <c r="D1404" s="2911" t="s">
        <v>2749</v>
      </c>
      <c r="E1404" s="2911"/>
      <c r="F1404" s="2911"/>
      <c r="G1404" s="2911"/>
      <c r="H1404" s="2911"/>
      <c r="I1404" s="2911"/>
      <c r="J1404" s="2911"/>
      <c r="K1404" s="1586"/>
      <c r="L1404" s="1586"/>
      <c r="M1404" s="1586"/>
      <c r="N1404" s="1586"/>
      <c r="O1404" s="1586"/>
      <c r="P1404" s="1586"/>
      <c r="Q1404" s="2314"/>
      <c r="R1404" s="2314"/>
      <c r="S1404" s="2314"/>
      <c r="T1404" s="1586"/>
      <c r="U1404" s="1586"/>
      <c r="V1404" s="1586"/>
      <c r="W1404" s="1586"/>
    </row>
    <row r="1405" spans="4:23" ht="15">
      <c r="D1405" s="1586"/>
      <c r="E1405" s="1586"/>
      <c r="F1405" s="1586"/>
      <c r="G1405" s="1586"/>
      <c r="H1405" s="1586"/>
      <c r="I1405" s="1586"/>
      <c r="J1405" s="1586"/>
      <c r="K1405" s="1586"/>
      <c r="L1405" s="1586"/>
      <c r="M1405" s="1586"/>
      <c r="N1405" s="1586"/>
      <c r="O1405" s="1586"/>
      <c r="P1405" s="1586"/>
      <c r="Q1405" s="2314"/>
      <c r="R1405" s="2314"/>
      <c r="S1405" s="2314"/>
      <c r="T1405" s="1586"/>
      <c r="U1405" s="1586"/>
      <c r="V1405" s="1586"/>
      <c r="W1405" s="1586"/>
    </row>
    <row r="1406" spans="4:23" ht="15.75">
      <c r="D1406" s="2912" t="s">
        <v>653</v>
      </c>
      <c r="E1406" s="2912"/>
      <c r="F1406" s="2912"/>
      <c r="G1406" s="1586"/>
      <c r="H1406" s="2315">
        <v>2020</v>
      </c>
      <c r="I1406" s="1586"/>
      <c r="J1406" s="1586"/>
      <c r="K1406" s="1586"/>
      <c r="L1406" s="1586"/>
      <c r="M1406" s="1586"/>
      <c r="N1406" s="1586"/>
      <c r="O1406" s="1586"/>
      <c r="P1406" s="1586"/>
      <c r="Q1406" s="2314"/>
      <c r="R1406" s="2314"/>
      <c r="S1406" s="2314"/>
      <c r="T1406" s="1586"/>
      <c r="U1406" s="1586"/>
      <c r="V1406" s="1586"/>
      <c r="W1406" s="1586"/>
    </row>
    <row r="1407" spans="4:23" ht="15">
      <c r="D1407" s="1586"/>
      <c r="E1407" s="1586"/>
      <c r="F1407" s="1586"/>
      <c r="G1407" s="1586"/>
      <c r="H1407" s="1586"/>
      <c r="I1407" s="1586"/>
      <c r="J1407" s="1586"/>
      <c r="K1407" s="1586"/>
      <c r="L1407" s="1586"/>
      <c r="M1407" s="1586"/>
      <c r="N1407" s="1586"/>
      <c r="O1407" s="1586"/>
      <c r="P1407" s="1586"/>
      <c r="Q1407" s="2314"/>
      <c r="R1407" s="2314"/>
      <c r="S1407" s="2314"/>
      <c r="T1407" s="1586"/>
      <c r="U1407" s="1586"/>
      <c r="V1407" s="1586"/>
      <c r="W1407" s="1586"/>
    </row>
    <row r="1408" spans="4:23" ht="15.75">
      <c r="D1408" s="2912" t="s">
        <v>655</v>
      </c>
      <c r="E1408" s="2912"/>
      <c r="F1408" s="2912"/>
      <c r="G1408" s="1586"/>
      <c r="H1408" s="2913" t="s">
        <v>3167</v>
      </c>
      <c r="I1408" s="2914"/>
      <c r="J1408" s="2914"/>
      <c r="K1408" s="2914"/>
      <c r="L1408" s="2914"/>
      <c r="M1408" s="1586"/>
      <c r="N1408" s="1586"/>
      <c r="O1408" s="1586"/>
      <c r="P1408" s="1586"/>
      <c r="Q1408" s="2314"/>
      <c r="R1408" s="2314"/>
      <c r="S1408" s="2314"/>
      <c r="T1408" s="1586"/>
      <c r="U1408" s="1586"/>
      <c r="V1408" s="1586"/>
      <c r="W1408" s="1586"/>
    </row>
    <row r="1409" spans="4:23" ht="15">
      <c r="D1409" s="1586"/>
      <c r="E1409" s="1586"/>
      <c r="F1409" s="1586"/>
      <c r="G1409" s="1586"/>
      <c r="H1409" s="1586"/>
      <c r="I1409" s="1586"/>
      <c r="J1409" s="1586"/>
      <c r="K1409" s="1586"/>
      <c r="L1409" s="1586"/>
      <c r="M1409" s="1586"/>
      <c r="N1409" s="1586"/>
      <c r="O1409" s="1586"/>
      <c r="P1409" s="1586"/>
      <c r="Q1409" s="2314"/>
      <c r="R1409" s="2314"/>
      <c r="S1409" s="2314"/>
      <c r="T1409" s="1586"/>
      <c r="U1409" s="1586"/>
      <c r="V1409" s="1586"/>
      <c r="W1409" s="1586"/>
    </row>
    <row r="1410" spans="4:23" ht="78.75">
      <c r="D1410" s="2316"/>
      <c r="E1410" s="2266" t="s">
        <v>657</v>
      </c>
      <c r="F1410" s="2893" t="s">
        <v>587</v>
      </c>
      <c r="G1410" s="2909"/>
      <c r="H1410" s="2909"/>
      <c r="I1410" s="2910"/>
      <c r="J1410" s="2893" t="s">
        <v>2751</v>
      </c>
      <c r="K1410" s="2910"/>
      <c r="L1410" s="2893" t="s">
        <v>2752</v>
      </c>
      <c r="M1410" s="2910"/>
      <c r="N1410" s="2266" t="s">
        <v>2753</v>
      </c>
      <c r="O1410" s="2266" t="s">
        <v>2754</v>
      </c>
      <c r="P1410" s="2266" t="s">
        <v>2755</v>
      </c>
      <c r="Q1410" s="2267" t="s">
        <v>2756</v>
      </c>
      <c r="R1410" s="2267" t="s">
        <v>2757</v>
      </c>
      <c r="S1410" s="2267" t="s">
        <v>2758</v>
      </c>
      <c r="T1410" s="2266" t="s">
        <v>623</v>
      </c>
      <c r="U1410" s="2266" t="s">
        <v>2759</v>
      </c>
      <c r="V1410" s="2266" t="s">
        <v>2760</v>
      </c>
      <c r="W1410" s="2266" t="s">
        <v>2761</v>
      </c>
    </row>
    <row r="1411" spans="4:23" ht="45">
      <c r="D1411" s="2316"/>
      <c r="E1411" s="2268">
        <v>1</v>
      </c>
      <c r="F1411" s="2882" t="s">
        <v>3168</v>
      </c>
      <c r="G1411" s="2905"/>
      <c r="H1411" s="2905"/>
      <c r="I1411" s="2906"/>
      <c r="J1411" s="2882" t="s">
        <v>2240</v>
      </c>
      <c r="K1411" s="2906"/>
      <c r="L1411" s="2882" t="s">
        <v>2762</v>
      </c>
      <c r="M1411" s="2906"/>
      <c r="N1411" s="2268" t="s">
        <v>2763</v>
      </c>
      <c r="O1411" s="2268" t="s">
        <v>2764</v>
      </c>
      <c r="P1411" s="2268" t="s">
        <v>2765</v>
      </c>
      <c r="Q1411" s="2269">
        <v>25000</v>
      </c>
      <c r="R1411" s="2270" t="s">
        <v>2766</v>
      </c>
      <c r="S1411" s="2270">
        <v>25000</v>
      </c>
      <c r="T1411" s="2268"/>
      <c r="U1411" s="2268" t="s">
        <v>2767</v>
      </c>
      <c r="V1411" s="2268" t="s">
        <v>2768</v>
      </c>
      <c r="W1411" s="2268"/>
    </row>
    <row r="1412" spans="4:23" ht="30">
      <c r="D1412" s="2316"/>
      <c r="E1412" s="2271" t="s">
        <v>676</v>
      </c>
      <c r="F1412" s="2888" t="s">
        <v>676</v>
      </c>
      <c r="G1412" s="2907"/>
      <c r="H1412" s="2907"/>
      <c r="I1412" s="2908"/>
      <c r="J1412" s="2888" t="s">
        <v>676</v>
      </c>
      <c r="K1412" s="2908"/>
      <c r="L1412" s="2888" t="s">
        <v>676</v>
      </c>
      <c r="M1412" s="2908"/>
      <c r="N1412" s="2271" t="s">
        <v>676</v>
      </c>
      <c r="O1412" s="2271" t="s">
        <v>676</v>
      </c>
      <c r="P1412" s="2271" t="s">
        <v>676</v>
      </c>
      <c r="Q1412" s="2272" t="s">
        <v>676</v>
      </c>
      <c r="R1412" s="2270" t="s">
        <v>2769</v>
      </c>
      <c r="S1412" s="2270">
        <v>0</v>
      </c>
      <c r="T1412" s="2271" t="s">
        <v>676</v>
      </c>
      <c r="U1412" s="2271" t="s">
        <v>676</v>
      </c>
      <c r="V1412" s="2271" t="s">
        <v>676</v>
      </c>
      <c r="W1412" s="2271" t="s">
        <v>676</v>
      </c>
    </row>
    <row r="1413" spans="4:23" ht="30">
      <c r="D1413" s="2316"/>
      <c r="E1413" s="2271" t="s">
        <v>676</v>
      </c>
      <c r="F1413" s="2891" t="s">
        <v>676</v>
      </c>
      <c r="G1413" s="2907"/>
      <c r="H1413" s="2907"/>
      <c r="I1413" s="2908"/>
      <c r="J1413" s="2892" t="s">
        <v>676</v>
      </c>
      <c r="K1413" s="2907"/>
      <c r="L1413" s="2888" t="s">
        <v>676</v>
      </c>
      <c r="M1413" s="2908"/>
      <c r="N1413" s="2271" t="s">
        <v>676</v>
      </c>
      <c r="O1413" s="2271" t="s">
        <v>676</v>
      </c>
      <c r="P1413" s="2271" t="s">
        <v>676</v>
      </c>
      <c r="Q1413" s="2272" t="s">
        <v>676</v>
      </c>
      <c r="R1413" s="2270" t="s">
        <v>2770</v>
      </c>
      <c r="S1413" s="2270">
        <v>0</v>
      </c>
      <c r="T1413" s="2271" t="s">
        <v>676</v>
      </c>
      <c r="U1413" s="2271" t="s">
        <v>676</v>
      </c>
      <c r="V1413" s="2271" t="s">
        <v>676</v>
      </c>
      <c r="W1413" s="2271" t="s">
        <v>676</v>
      </c>
    </row>
    <row r="1414" spans="4:23" ht="45">
      <c r="D1414" s="2316"/>
      <c r="E1414" s="2268">
        <v>2</v>
      </c>
      <c r="F1414" s="2882" t="s">
        <v>172</v>
      </c>
      <c r="G1414" s="2905"/>
      <c r="H1414" s="2905"/>
      <c r="I1414" s="2906"/>
      <c r="J1414" s="2882" t="s">
        <v>3169</v>
      </c>
      <c r="K1414" s="2906"/>
      <c r="L1414" s="2882" t="s">
        <v>2762</v>
      </c>
      <c r="M1414" s="2906"/>
      <c r="N1414" s="2268" t="s">
        <v>2763</v>
      </c>
      <c r="O1414" s="2268" t="s">
        <v>2775</v>
      </c>
      <c r="P1414" s="2268" t="s">
        <v>2765</v>
      </c>
      <c r="Q1414" s="2269">
        <v>66667</v>
      </c>
      <c r="R1414" s="2270" t="s">
        <v>2766</v>
      </c>
      <c r="S1414" s="2270">
        <v>66667</v>
      </c>
      <c r="T1414" s="2268"/>
      <c r="U1414" s="2268" t="s">
        <v>2767</v>
      </c>
      <c r="V1414" s="2268" t="s">
        <v>2768</v>
      </c>
      <c r="W1414" s="2268"/>
    </row>
    <row r="1415" spans="4:23" ht="30">
      <c r="D1415" s="2316"/>
      <c r="E1415" s="2271" t="s">
        <v>676</v>
      </c>
      <c r="F1415" s="2888" t="s">
        <v>676</v>
      </c>
      <c r="G1415" s="2907"/>
      <c r="H1415" s="2907"/>
      <c r="I1415" s="2908"/>
      <c r="J1415" s="2888" t="s">
        <v>676</v>
      </c>
      <c r="K1415" s="2908"/>
      <c r="L1415" s="2888" t="s">
        <v>676</v>
      </c>
      <c r="M1415" s="2908"/>
      <c r="N1415" s="2271" t="s">
        <v>676</v>
      </c>
      <c r="O1415" s="2271" t="s">
        <v>676</v>
      </c>
      <c r="P1415" s="2271" t="s">
        <v>676</v>
      </c>
      <c r="Q1415" s="2272" t="s">
        <v>676</v>
      </c>
      <c r="R1415" s="2270" t="s">
        <v>2769</v>
      </c>
      <c r="S1415" s="2270">
        <v>0</v>
      </c>
      <c r="T1415" s="2271" t="s">
        <v>676</v>
      </c>
      <c r="U1415" s="2271" t="s">
        <v>676</v>
      </c>
      <c r="V1415" s="2271" t="s">
        <v>676</v>
      </c>
      <c r="W1415" s="2271" t="s">
        <v>676</v>
      </c>
    </row>
    <row r="1416" spans="4:23" ht="30">
      <c r="D1416" s="2316"/>
      <c r="E1416" s="2271" t="s">
        <v>676</v>
      </c>
      <c r="F1416" s="2891" t="s">
        <v>676</v>
      </c>
      <c r="G1416" s="2907"/>
      <c r="H1416" s="2907"/>
      <c r="I1416" s="2908"/>
      <c r="J1416" s="2892" t="s">
        <v>676</v>
      </c>
      <c r="K1416" s="2907"/>
      <c r="L1416" s="2888" t="s">
        <v>676</v>
      </c>
      <c r="M1416" s="2908"/>
      <c r="N1416" s="2271" t="s">
        <v>676</v>
      </c>
      <c r="O1416" s="2271" t="s">
        <v>676</v>
      </c>
      <c r="P1416" s="2271" t="s">
        <v>676</v>
      </c>
      <c r="Q1416" s="2272" t="s">
        <v>676</v>
      </c>
      <c r="R1416" s="2270" t="s">
        <v>2770</v>
      </c>
      <c r="S1416" s="2270">
        <v>0</v>
      </c>
      <c r="T1416" s="2271" t="s">
        <v>676</v>
      </c>
      <c r="U1416" s="2271" t="s">
        <v>676</v>
      </c>
      <c r="V1416" s="2271" t="s">
        <v>676</v>
      </c>
      <c r="W1416" s="2271" t="s">
        <v>676</v>
      </c>
    </row>
    <row r="1417" spans="4:23" ht="45">
      <c r="D1417" s="2316"/>
      <c r="E1417" s="2268">
        <v>3</v>
      </c>
      <c r="F1417" s="2882" t="s">
        <v>3170</v>
      </c>
      <c r="G1417" s="2905"/>
      <c r="H1417" s="2905"/>
      <c r="I1417" s="2906"/>
      <c r="J1417" s="2882" t="s">
        <v>2231</v>
      </c>
      <c r="K1417" s="2906"/>
      <c r="L1417" s="2882" t="s">
        <v>2762</v>
      </c>
      <c r="M1417" s="2906"/>
      <c r="N1417" s="2268" t="s">
        <v>2763</v>
      </c>
      <c r="O1417" s="2268" t="s">
        <v>2775</v>
      </c>
      <c r="P1417" s="2268" t="s">
        <v>2765</v>
      </c>
      <c r="Q1417" s="2269">
        <v>41667</v>
      </c>
      <c r="R1417" s="2270" t="s">
        <v>2766</v>
      </c>
      <c r="S1417" s="2270">
        <v>41667</v>
      </c>
      <c r="T1417" s="2268"/>
      <c r="U1417" s="2268" t="s">
        <v>2767</v>
      </c>
      <c r="V1417" s="2268" t="s">
        <v>2768</v>
      </c>
      <c r="W1417" s="2268"/>
    </row>
    <row r="1418" spans="4:23" ht="30">
      <c r="D1418" s="2316"/>
      <c r="E1418" s="2271" t="s">
        <v>676</v>
      </c>
      <c r="F1418" s="2888" t="s">
        <v>676</v>
      </c>
      <c r="G1418" s="2907"/>
      <c r="H1418" s="2907"/>
      <c r="I1418" s="2908"/>
      <c r="J1418" s="2888" t="s">
        <v>676</v>
      </c>
      <c r="K1418" s="2908"/>
      <c r="L1418" s="2888" t="s">
        <v>676</v>
      </c>
      <c r="M1418" s="2908"/>
      <c r="N1418" s="2271" t="s">
        <v>676</v>
      </c>
      <c r="O1418" s="2271" t="s">
        <v>676</v>
      </c>
      <c r="P1418" s="2271" t="s">
        <v>676</v>
      </c>
      <c r="Q1418" s="2272" t="s">
        <v>676</v>
      </c>
      <c r="R1418" s="2270" t="s">
        <v>2769</v>
      </c>
      <c r="S1418" s="2270">
        <v>0</v>
      </c>
      <c r="T1418" s="2271" t="s">
        <v>676</v>
      </c>
      <c r="U1418" s="2271" t="s">
        <v>676</v>
      </c>
      <c r="V1418" s="2271" t="s">
        <v>676</v>
      </c>
      <c r="W1418" s="2271" t="s">
        <v>676</v>
      </c>
    </row>
    <row r="1419" spans="4:23" ht="30">
      <c r="D1419" s="2316"/>
      <c r="E1419" s="2271" t="s">
        <v>676</v>
      </c>
      <c r="F1419" s="2891" t="s">
        <v>676</v>
      </c>
      <c r="G1419" s="2907"/>
      <c r="H1419" s="2907"/>
      <c r="I1419" s="2908"/>
      <c r="J1419" s="2892" t="s">
        <v>676</v>
      </c>
      <c r="K1419" s="2907"/>
      <c r="L1419" s="2888" t="s">
        <v>676</v>
      </c>
      <c r="M1419" s="2908"/>
      <c r="N1419" s="2271" t="s">
        <v>676</v>
      </c>
      <c r="O1419" s="2271" t="s">
        <v>676</v>
      </c>
      <c r="P1419" s="2271" t="s">
        <v>676</v>
      </c>
      <c r="Q1419" s="2272" t="s">
        <v>676</v>
      </c>
      <c r="R1419" s="2270" t="s">
        <v>2770</v>
      </c>
      <c r="S1419" s="2270">
        <v>0</v>
      </c>
      <c r="T1419" s="2271" t="s">
        <v>676</v>
      </c>
      <c r="U1419" s="2271" t="s">
        <v>676</v>
      </c>
      <c r="V1419" s="2271" t="s">
        <v>676</v>
      </c>
      <c r="W1419" s="2271" t="s">
        <v>676</v>
      </c>
    </row>
    <row r="1420" spans="4:23" ht="45">
      <c r="D1420" s="2316"/>
      <c r="E1420" s="2268">
        <v>4</v>
      </c>
      <c r="F1420" s="2882" t="s">
        <v>3171</v>
      </c>
      <c r="G1420" s="2905"/>
      <c r="H1420" s="2905"/>
      <c r="I1420" s="2906"/>
      <c r="J1420" s="2882" t="s">
        <v>1763</v>
      </c>
      <c r="K1420" s="2906"/>
      <c r="L1420" s="2882" t="s">
        <v>2762</v>
      </c>
      <c r="M1420" s="2906"/>
      <c r="N1420" s="2268" t="s">
        <v>2763</v>
      </c>
      <c r="O1420" s="2268" t="s">
        <v>2775</v>
      </c>
      <c r="P1420" s="2268" t="s">
        <v>2765</v>
      </c>
      <c r="Q1420" s="2269">
        <v>66667</v>
      </c>
      <c r="R1420" s="2270" t="s">
        <v>2766</v>
      </c>
      <c r="S1420" s="2270">
        <v>66667</v>
      </c>
      <c r="T1420" s="2268"/>
      <c r="U1420" s="2268" t="s">
        <v>2767</v>
      </c>
      <c r="V1420" s="2268" t="s">
        <v>2768</v>
      </c>
      <c r="W1420" s="2268"/>
    </row>
    <row r="1421" spans="4:23" ht="30">
      <c r="D1421" s="2316"/>
      <c r="E1421" s="2271" t="s">
        <v>676</v>
      </c>
      <c r="F1421" s="2888" t="s">
        <v>676</v>
      </c>
      <c r="G1421" s="2907"/>
      <c r="H1421" s="2907"/>
      <c r="I1421" s="2908"/>
      <c r="J1421" s="2888" t="s">
        <v>676</v>
      </c>
      <c r="K1421" s="2908"/>
      <c r="L1421" s="2888" t="s">
        <v>676</v>
      </c>
      <c r="M1421" s="2908"/>
      <c r="N1421" s="2271" t="s">
        <v>676</v>
      </c>
      <c r="O1421" s="2271" t="s">
        <v>676</v>
      </c>
      <c r="P1421" s="2271" t="s">
        <v>676</v>
      </c>
      <c r="Q1421" s="2272" t="s">
        <v>676</v>
      </c>
      <c r="R1421" s="2270" t="s">
        <v>2769</v>
      </c>
      <c r="S1421" s="2270">
        <v>0</v>
      </c>
      <c r="T1421" s="2271" t="s">
        <v>676</v>
      </c>
      <c r="U1421" s="2271" t="s">
        <v>676</v>
      </c>
      <c r="V1421" s="2271" t="s">
        <v>676</v>
      </c>
      <c r="W1421" s="2271" t="s">
        <v>676</v>
      </c>
    </row>
    <row r="1422" spans="4:23" ht="30">
      <c r="D1422" s="2316"/>
      <c r="E1422" s="2271" t="s">
        <v>676</v>
      </c>
      <c r="F1422" s="2891" t="s">
        <v>676</v>
      </c>
      <c r="G1422" s="2907"/>
      <c r="H1422" s="2907"/>
      <c r="I1422" s="2908"/>
      <c r="J1422" s="2892" t="s">
        <v>676</v>
      </c>
      <c r="K1422" s="2907"/>
      <c r="L1422" s="2888" t="s">
        <v>676</v>
      </c>
      <c r="M1422" s="2908"/>
      <c r="N1422" s="2271" t="s">
        <v>676</v>
      </c>
      <c r="O1422" s="2271" t="s">
        <v>676</v>
      </c>
      <c r="P1422" s="2271" t="s">
        <v>676</v>
      </c>
      <c r="Q1422" s="2272" t="s">
        <v>676</v>
      </c>
      <c r="R1422" s="2270" t="s">
        <v>2770</v>
      </c>
      <c r="S1422" s="2270">
        <v>0</v>
      </c>
      <c r="T1422" s="2271" t="s">
        <v>676</v>
      </c>
      <c r="U1422" s="2271" t="s">
        <v>676</v>
      </c>
      <c r="V1422" s="2271" t="s">
        <v>676</v>
      </c>
      <c r="W1422" s="2271" t="s">
        <v>676</v>
      </c>
    </row>
    <row r="1423" spans="4:23" ht="45">
      <c r="D1423" s="2316"/>
      <c r="E1423" s="2268">
        <v>5</v>
      </c>
      <c r="F1423" s="2882" t="s">
        <v>176</v>
      </c>
      <c r="G1423" s="2905"/>
      <c r="H1423" s="2905"/>
      <c r="I1423" s="2906"/>
      <c r="J1423" s="2882" t="s">
        <v>3172</v>
      </c>
      <c r="K1423" s="2906"/>
      <c r="L1423" s="2882" t="s">
        <v>2762</v>
      </c>
      <c r="M1423" s="2906"/>
      <c r="N1423" s="2268" t="s">
        <v>2763</v>
      </c>
      <c r="O1423" s="2268" t="s">
        <v>2775</v>
      </c>
      <c r="P1423" s="2268" t="s">
        <v>2765</v>
      </c>
      <c r="Q1423" s="2269">
        <v>25000</v>
      </c>
      <c r="R1423" s="2270" t="s">
        <v>2766</v>
      </c>
      <c r="S1423" s="2270">
        <v>25000</v>
      </c>
      <c r="T1423" s="2268"/>
      <c r="U1423" s="2268" t="s">
        <v>2767</v>
      </c>
      <c r="V1423" s="2268" t="s">
        <v>2768</v>
      </c>
      <c r="W1423" s="2268"/>
    </row>
    <row r="1424" spans="4:23" ht="30">
      <c r="D1424" s="2316"/>
      <c r="E1424" s="2271" t="s">
        <v>676</v>
      </c>
      <c r="F1424" s="2888" t="s">
        <v>676</v>
      </c>
      <c r="G1424" s="2907"/>
      <c r="H1424" s="2907"/>
      <c r="I1424" s="2908"/>
      <c r="J1424" s="2888" t="s">
        <v>676</v>
      </c>
      <c r="K1424" s="2908"/>
      <c r="L1424" s="2888" t="s">
        <v>676</v>
      </c>
      <c r="M1424" s="2908"/>
      <c r="N1424" s="2271" t="s">
        <v>676</v>
      </c>
      <c r="O1424" s="2271" t="s">
        <v>676</v>
      </c>
      <c r="P1424" s="2271" t="s">
        <v>676</v>
      </c>
      <c r="Q1424" s="2272" t="s">
        <v>676</v>
      </c>
      <c r="R1424" s="2270" t="s">
        <v>2769</v>
      </c>
      <c r="S1424" s="2270">
        <v>0</v>
      </c>
      <c r="T1424" s="2271" t="s">
        <v>676</v>
      </c>
      <c r="U1424" s="2271" t="s">
        <v>676</v>
      </c>
      <c r="V1424" s="2271" t="s">
        <v>676</v>
      </c>
      <c r="W1424" s="2271" t="s">
        <v>676</v>
      </c>
    </row>
    <row r="1425" spans="4:23" ht="30">
      <c r="D1425" s="2316"/>
      <c r="E1425" s="2271" t="s">
        <v>676</v>
      </c>
      <c r="F1425" s="2891" t="s">
        <v>676</v>
      </c>
      <c r="G1425" s="2907"/>
      <c r="H1425" s="2907"/>
      <c r="I1425" s="2908"/>
      <c r="J1425" s="2892" t="s">
        <v>676</v>
      </c>
      <c r="K1425" s="2907"/>
      <c r="L1425" s="2888" t="s">
        <v>676</v>
      </c>
      <c r="M1425" s="2908"/>
      <c r="N1425" s="2271" t="s">
        <v>676</v>
      </c>
      <c r="O1425" s="2271" t="s">
        <v>676</v>
      </c>
      <c r="P1425" s="2271" t="s">
        <v>676</v>
      </c>
      <c r="Q1425" s="2272" t="s">
        <v>676</v>
      </c>
      <c r="R1425" s="2270" t="s">
        <v>2770</v>
      </c>
      <c r="S1425" s="2270">
        <v>0</v>
      </c>
      <c r="T1425" s="2271" t="s">
        <v>676</v>
      </c>
      <c r="U1425" s="2271" t="s">
        <v>676</v>
      </c>
      <c r="V1425" s="2271" t="s">
        <v>676</v>
      </c>
      <c r="W1425" s="2271" t="s">
        <v>676</v>
      </c>
    </row>
    <row r="1426" spans="4:23" ht="45">
      <c r="D1426" s="2316"/>
      <c r="E1426" s="2268">
        <v>6</v>
      </c>
      <c r="F1426" s="2882" t="s">
        <v>3173</v>
      </c>
      <c r="G1426" s="2905"/>
      <c r="H1426" s="2905"/>
      <c r="I1426" s="2906"/>
      <c r="J1426" s="2882" t="s">
        <v>1260</v>
      </c>
      <c r="K1426" s="2906"/>
      <c r="L1426" s="2882" t="s">
        <v>2762</v>
      </c>
      <c r="M1426" s="2906"/>
      <c r="N1426" s="2268" t="s">
        <v>2763</v>
      </c>
      <c r="O1426" s="2268" t="s">
        <v>2764</v>
      </c>
      <c r="P1426" s="2268" t="s">
        <v>2765</v>
      </c>
      <c r="Q1426" s="2269">
        <v>25000</v>
      </c>
      <c r="R1426" s="2270" t="s">
        <v>2766</v>
      </c>
      <c r="S1426" s="2270">
        <v>25000</v>
      </c>
      <c r="T1426" s="2268"/>
      <c r="U1426" s="2268" t="s">
        <v>2767</v>
      </c>
      <c r="V1426" s="2268" t="s">
        <v>2768</v>
      </c>
      <c r="W1426" s="2268"/>
    </row>
    <row r="1427" spans="4:23" ht="30">
      <c r="D1427" s="2316"/>
      <c r="E1427" s="2271" t="s">
        <v>676</v>
      </c>
      <c r="F1427" s="2888" t="s">
        <v>676</v>
      </c>
      <c r="G1427" s="2907"/>
      <c r="H1427" s="2907"/>
      <c r="I1427" s="2908"/>
      <c r="J1427" s="2888" t="s">
        <v>676</v>
      </c>
      <c r="K1427" s="2908"/>
      <c r="L1427" s="2888" t="s">
        <v>676</v>
      </c>
      <c r="M1427" s="2908"/>
      <c r="N1427" s="2271" t="s">
        <v>676</v>
      </c>
      <c r="O1427" s="2271" t="s">
        <v>676</v>
      </c>
      <c r="P1427" s="2271" t="s">
        <v>676</v>
      </c>
      <c r="Q1427" s="2272" t="s">
        <v>676</v>
      </c>
      <c r="R1427" s="2270" t="s">
        <v>2769</v>
      </c>
      <c r="S1427" s="2270">
        <v>0</v>
      </c>
      <c r="T1427" s="2271" t="s">
        <v>676</v>
      </c>
      <c r="U1427" s="2271" t="s">
        <v>676</v>
      </c>
      <c r="V1427" s="2271" t="s">
        <v>676</v>
      </c>
      <c r="W1427" s="2271" t="s">
        <v>676</v>
      </c>
    </row>
    <row r="1428" spans="4:23" ht="30">
      <c r="D1428" s="2316"/>
      <c r="E1428" s="2273" t="s">
        <v>676</v>
      </c>
      <c r="F1428" s="2896" t="s">
        <v>676</v>
      </c>
      <c r="G1428" s="2897"/>
      <c r="H1428" s="2897"/>
      <c r="I1428" s="2898"/>
      <c r="J1428" s="2899" t="s">
        <v>676</v>
      </c>
      <c r="K1428" s="2897"/>
      <c r="L1428" s="2900" t="s">
        <v>676</v>
      </c>
      <c r="M1428" s="2898"/>
      <c r="N1428" s="2273" t="s">
        <v>676</v>
      </c>
      <c r="O1428" s="2273" t="s">
        <v>676</v>
      </c>
      <c r="P1428" s="2273" t="s">
        <v>676</v>
      </c>
      <c r="Q1428" s="2274" t="s">
        <v>676</v>
      </c>
      <c r="R1428" s="2270" t="s">
        <v>2770</v>
      </c>
      <c r="S1428" s="2270">
        <v>0</v>
      </c>
      <c r="T1428" s="2273" t="s">
        <v>676</v>
      </c>
      <c r="U1428" s="2273" t="s">
        <v>676</v>
      </c>
      <c r="V1428" s="2273" t="s">
        <v>676</v>
      </c>
      <c r="W1428" s="2273" t="s">
        <v>676</v>
      </c>
    </row>
    <row r="1429" spans="4:23" ht="30">
      <c r="D1429" s="1586"/>
      <c r="E1429" s="2429"/>
      <c r="F1429" s="2430" t="s">
        <v>82</v>
      </c>
      <c r="G1429" s="2431"/>
      <c r="H1429" s="2431"/>
      <c r="I1429" s="2431"/>
      <c r="J1429" s="2430"/>
      <c r="K1429" s="2431"/>
      <c r="L1429" s="2430"/>
      <c r="M1429" s="2431"/>
      <c r="N1429" s="2430"/>
      <c r="O1429" s="2430"/>
      <c r="P1429" s="2430"/>
      <c r="Q1429" s="2432">
        <f>SUM(Q1411:Q1428)</f>
        <v>250001</v>
      </c>
      <c r="R1429" s="2432"/>
      <c r="S1429" s="2432">
        <f>SUM(S1411:S1428)</f>
        <v>250001</v>
      </c>
      <c r="T1429" s="2430"/>
      <c r="U1429" s="2430"/>
      <c r="V1429" s="2430"/>
      <c r="W1429" s="2433"/>
    </row>
    <row r="1430" spans="4:23" ht="20.25">
      <c r="D1430" s="1586"/>
      <c r="E1430" s="2330"/>
      <c r="F1430" s="2330"/>
      <c r="G1430" s="2434"/>
      <c r="H1430" s="2434"/>
      <c r="I1430" s="2434"/>
      <c r="J1430" s="2330"/>
      <c r="K1430" s="2434"/>
      <c r="L1430" s="2330"/>
      <c r="M1430" s="2434"/>
      <c r="N1430" s="2330"/>
      <c r="O1430" s="2330"/>
      <c r="P1430" s="2330"/>
      <c r="Q1430" s="2435"/>
      <c r="R1430" s="2284" t="s">
        <v>2789</v>
      </c>
      <c r="S1430" s="2435"/>
      <c r="T1430" s="2330"/>
      <c r="U1430" s="2330"/>
      <c r="V1430" s="2330"/>
      <c r="W1430" s="2330"/>
    </row>
    <row r="1431" spans="4:23" ht="20.25">
      <c r="D1431" s="2326"/>
      <c r="E1431" s="2326"/>
      <c r="F1431" s="2326"/>
      <c r="G1431" s="2326"/>
      <c r="H1431" s="2326"/>
      <c r="I1431" s="2326"/>
      <c r="J1431" s="2326"/>
      <c r="K1431" s="2326"/>
      <c r="L1431" s="2326"/>
      <c r="M1431" s="2326"/>
      <c r="N1431" s="2326"/>
      <c r="O1431" s="2326"/>
      <c r="P1431" s="2326"/>
      <c r="Q1431" s="2326"/>
      <c r="R1431" s="2284" t="s">
        <v>2790</v>
      </c>
      <c r="S1431" s="2326"/>
      <c r="T1431" s="2326"/>
      <c r="U1431" s="2326"/>
      <c r="V1431" s="2326"/>
      <c r="W1431" s="2326"/>
    </row>
    <row r="1432" spans="4:23" ht="20.25">
      <c r="D1432" s="2911" t="s">
        <v>2749</v>
      </c>
      <c r="E1432" s="2911"/>
      <c r="F1432" s="2911"/>
      <c r="G1432" s="2911"/>
      <c r="H1432" s="2911"/>
      <c r="I1432" s="2911"/>
      <c r="J1432" s="2911"/>
      <c r="K1432" s="1586"/>
      <c r="L1432" s="1586"/>
      <c r="M1432" s="1586"/>
      <c r="N1432" s="1586"/>
      <c r="O1432" s="1586"/>
      <c r="P1432" s="1586"/>
      <c r="Q1432" s="2314"/>
      <c r="R1432" s="2314"/>
      <c r="S1432" s="2314"/>
      <c r="T1432" s="1586"/>
      <c r="U1432" s="1586"/>
      <c r="V1432" s="1586"/>
      <c r="W1432" s="1586"/>
    </row>
    <row r="1433" spans="4:23" ht="15">
      <c r="D1433" s="1586"/>
      <c r="E1433" s="1586"/>
      <c r="F1433" s="1586"/>
      <c r="G1433" s="1586"/>
      <c r="H1433" s="1586"/>
      <c r="I1433" s="1586"/>
      <c r="J1433" s="1586"/>
      <c r="K1433" s="1586"/>
      <c r="L1433" s="1586"/>
      <c r="M1433" s="1586"/>
      <c r="N1433" s="1586"/>
      <c r="O1433" s="1586"/>
      <c r="P1433" s="1586"/>
      <c r="Q1433" s="2314"/>
      <c r="R1433" s="2314"/>
      <c r="S1433" s="2314"/>
      <c r="T1433" s="1586"/>
      <c r="U1433" s="1586"/>
      <c r="V1433" s="1586"/>
      <c r="W1433" s="1586"/>
    </row>
    <row r="1434" spans="4:23" ht="15.75">
      <c r="D1434" s="2912" t="s">
        <v>653</v>
      </c>
      <c r="E1434" s="2912"/>
      <c r="F1434" s="2912"/>
      <c r="G1434" s="1586"/>
      <c r="H1434" s="2315">
        <v>2020</v>
      </c>
      <c r="I1434" s="1586"/>
      <c r="J1434" s="1586"/>
      <c r="K1434" s="1586"/>
      <c r="L1434" s="1586"/>
      <c r="M1434" s="1586"/>
      <c r="N1434" s="1586"/>
      <c r="O1434" s="1586"/>
      <c r="P1434" s="1586"/>
      <c r="Q1434" s="2314"/>
      <c r="R1434" s="2314"/>
      <c r="S1434" s="2314"/>
      <c r="T1434" s="1586"/>
      <c r="U1434" s="1586"/>
      <c r="V1434" s="1586"/>
      <c r="W1434" s="1586"/>
    </row>
    <row r="1435" spans="4:23" ht="15">
      <c r="D1435" s="1586"/>
      <c r="E1435" s="1586"/>
      <c r="F1435" s="1586"/>
      <c r="G1435" s="1586"/>
      <c r="H1435" s="1586"/>
      <c r="I1435" s="1586"/>
      <c r="J1435" s="1586"/>
      <c r="K1435" s="1586"/>
      <c r="L1435" s="1586"/>
      <c r="M1435" s="1586"/>
      <c r="N1435" s="1586"/>
      <c r="O1435" s="1586"/>
      <c r="P1435" s="1586"/>
      <c r="Q1435" s="2314"/>
      <c r="R1435" s="2314"/>
      <c r="S1435" s="2314"/>
      <c r="T1435" s="1586"/>
      <c r="U1435" s="1586"/>
      <c r="V1435" s="1586"/>
      <c r="W1435" s="1586"/>
    </row>
    <row r="1436" spans="4:23" ht="15.75">
      <c r="D1436" s="2912" t="s">
        <v>655</v>
      </c>
      <c r="E1436" s="2912"/>
      <c r="F1436" s="2912"/>
      <c r="G1436" s="1586"/>
      <c r="H1436" s="2913" t="s">
        <v>3174</v>
      </c>
      <c r="I1436" s="2914"/>
      <c r="J1436" s="2914"/>
      <c r="K1436" s="2914"/>
      <c r="L1436" s="2914"/>
      <c r="M1436" s="1586"/>
      <c r="N1436" s="1586"/>
      <c r="O1436" s="1586"/>
      <c r="P1436" s="1586"/>
      <c r="Q1436" s="2314"/>
      <c r="R1436" s="2314"/>
      <c r="S1436" s="2314"/>
      <c r="T1436" s="1586"/>
      <c r="U1436" s="1586"/>
      <c r="V1436" s="1586"/>
      <c r="W1436" s="1586"/>
    </row>
    <row r="1437" spans="4:23" ht="15">
      <c r="D1437" s="1586"/>
      <c r="E1437" s="1586"/>
      <c r="F1437" s="1586"/>
      <c r="G1437" s="1586"/>
      <c r="H1437" s="1586"/>
      <c r="I1437" s="1586"/>
      <c r="J1437" s="1586"/>
      <c r="K1437" s="1586"/>
      <c r="L1437" s="1586"/>
      <c r="M1437" s="1586"/>
      <c r="N1437" s="1586"/>
      <c r="O1437" s="1586"/>
      <c r="P1437" s="1586"/>
      <c r="Q1437" s="2314"/>
      <c r="R1437" s="2314"/>
      <c r="S1437" s="2314"/>
      <c r="T1437" s="1586"/>
      <c r="U1437" s="1586"/>
      <c r="V1437" s="1586"/>
      <c r="W1437" s="1586"/>
    </row>
    <row r="1438" spans="4:23" ht="78.75">
      <c r="D1438" s="2316"/>
      <c r="E1438" s="2266" t="s">
        <v>657</v>
      </c>
      <c r="F1438" s="2893" t="s">
        <v>587</v>
      </c>
      <c r="G1438" s="2909"/>
      <c r="H1438" s="2909"/>
      <c r="I1438" s="2910"/>
      <c r="J1438" s="2893" t="s">
        <v>2751</v>
      </c>
      <c r="K1438" s="2910"/>
      <c r="L1438" s="2893" t="s">
        <v>2752</v>
      </c>
      <c r="M1438" s="2910"/>
      <c r="N1438" s="2266" t="s">
        <v>2753</v>
      </c>
      <c r="O1438" s="2266" t="s">
        <v>2754</v>
      </c>
      <c r="P1438" s="2266" t="s">
        <v>2755</v>
      </c>
      <c r="Q1438" s="2267" t="s">
        <v>2756</v>
      </c>
      <c r="R1438" s="2267" t="s">
        <v>2757</v>
      </c>
      <c r="S1438" s="2267" t="s">
        <v>2758</v>
      </c>
      <c r="T1438" s="2266" t="s">
        <v>623</v>
      </c>
      <c r="U1438" s="2266" t="s">
        <v>2759</v>
      </c>
      <c r="V1438" s="2266" t="s">
        <v>2760</v>
      </c>
      <c r="W1438" s="2266" t="s">
        <v>2761</v>
      </c>
    </row>
    <row r="1439" spans="4:23" ht="45">
      <c r="D1439" s="2316"/>
      <c r="E1439" s="2268">
        <v>1</v>
      </c>
      <c r="F1439" s="2882" t="s">
        <v>3175</v>
      </c>
      <c r="G1439" s="2905"/>
      <c r="H1439" s="2905"/>
      <c r="I1439" s="2906"/>
      <c r="J1439" s="2882" t="s">
        <v>1816</v>
      </c>
      <c r="K1439" s="2906"/>
      <c r="L1439" s="2882" t="s">
        <v>2762</v>
      </c>
      <c r="M1439" s="2906"/>
      <c r="N1439" s="2268" t="s">
        <v>2763</v>
      </c>
      <c r="O1439" s="2268" t="s">
        <v>2764</v>
      </c>
      <c r="P1439" s="2268" t="s">
        <v>2765</v>
      </c>
      <c r="Q1439" s="2269">
        <v>80000</v>
      </c>
      <c r="R1439" s="2270" t="s">
        <v>2766</v>
      </c>
      <c r="S1439" s="2270">
        <v>80000</v>
      </c>
      <c r="T1439" s="2268"/>
      <c r="U1439" s="2268" t="s">
        <v>2767</v>
      </c>
      <c r="V1439" s="2268" t="s">
        <v>2768</v>
      </c>
      <c r="W1439" s="2268"/>
    </row>
    <row r="1440" spans="4:23" ht="30">
      <c r="D1440" s="2316"/>
      <c r="E1440" s="2271" t="s">
        <v>676</v>
      </c>
      <c r="F1440" s="2888" t="s">
        <v>676</v>
      </c>
      <c r="G1440" s="2907"/>
      <c r="H1440" s="2907"/>
      <c r="I1440" s="2908"/>
      <c r="J1440" s="2888" t="s">
        <v>676</v>
      </c>
      <c r="K1440" s="2908"/>
      <c r="L1440" s="2888" t="s">
        <v>676</v>
      </c>
      <c r="M1440" s="2908"/>
      <c r="N1440" s="2271" t="s">
        <v>676</v>
      </c>
      <c r="O1440" s="2271" t="s">
        <v>676</v>
      </c>
      <c r="P1440" s="2271" t="s">
        <v>676</v>
      </c>
      <c r="Q1440" s="2272" t="s">
        <v>676</v>
      </c>
      <c r="R1440" s="2270" t="s">
        <v>2769</v>
      </c>
      <c r="S1440" s="2270">
        <v>0</v>
      </c>
      <c r="T1440" s="2271" t="s">
        <v>676</v>
      </c>
      <c r="U1440" s="2271" t="s">
        <v>676</v>
      </c>
      <c r="V1440" s="2271" t="s">
        <v>676</v>
      </c>
      <c r="W1440" s="2271" t="s">
        <v>676</v>
      </c>
    </row>
    <row r="1441" spans="4:23" ht="30">
      <c r="D1441" s="2316"/>
      <c r="E1441" s="2271" t="s">
        <v>676</v>
      </c>
      <c r="F1441" s="2891" t="s">
        <v>676</v>
      </c>
      <c r="G1441" s="2907"/>
      <c r="H1441" s="2907"/>
      <c r="I1441" s="2908"/>
      <c r="J1441" s="2892" t="s">
        <v>676</v>
      </c>
      <c r="K1441" s="2907"/>
      <c r="L1441" s="2888" t="s">
        <v>676</v>
      </c>
      <c r="M1441" s="2908"/>
      <c r="N1441" s="2271" t="s">
        <v>676</v>
      </c>
      <c r="O1441" s="2271" t="s">
        <v>676</v>
      </c>
      <c r="P1441" s="2271" t="s">
        <v>676</v>
      </c>
      <c r="Q1441" s="2272" t="s">
        <v>676</v>
      </c>
      <c r="R1441" s="2270" t="s">
        <v>2770</v>
      </c>
      <c r="S1441" s="2270">
        <v>0</v>
      </c>
      <c r="T1441" s="2271" t="s">
        <v>676</v>
      </c>
      <c r="U1441" s="2271" t="s">
        <v>676</v>
      </c>
      <c r="V1441" s="2271" t="s">
        <v>676</v>
      </c>
      <c r="W1441" s="2271" t="s">
        <v>676</v>
      </c>
    </row>
    <row r="1442" spans="4:23" ht="45">
      <c r="D1442" s="2316"/>
      <c r="E1442" s="2268">
        <v>2</v>
      </c>
      <c r="F1442" s="2882" t="s">
        <v>1211</v>
      </c>
      <c r="G1442" s="2905"/>
      <c r="H1442" s="2905"/>
      <c r="I1442" s="2906"/>
      <c r="J1442" s="2882" t="s">
        <v>1898</v>
      </c>
      <c r="K1442" s="2906"/>
      <c r="L1442" s="2882" t="s">
        <v>2762</v>
      </c>
      <c r="M1442" s="2906"/>
      <c r="N1442" s="2268" t="s">
        <v>2763</v>
      </c>
      <c r="O1442" s="2268" t="s">
        <v>2775</v>
      </c>
      <c r="P1442" s="2268" t="s">
        <v>2765</v>
      </c>
      <c r="Q1442" s="2269">
        <v>95000</v>
      </c>
      <c r="R1442" s="2270" t="s">
        <v>2766</v>
      </c>
      <c r="S1442" s="2270">
        <v>95000</v>
      </c>
      <c r="T1442" s="2268"/>
      <c r="U1442" s="2268" t="s">
        <v>2767</v>
      </c>
      <c r="V1442" s="2268" t="s">
        <v>2768</v>
      </c>
      <c r="W1442" s="2268"/>
    </row>
    <row r="1443" spans="4:23" ht="30">
      <c r="D1443" s="2316"/>
      <c r="E1443" s="2271" t="s">
        <v>676</v>
      </c>
      <c r="F1443" s="2888" t="s">
        <v>676</v>
      </c>
      <c r="G1443" s="2907"/>
      <c r="H1443" s="2907"/>
      <c r="I1443" s="2908"/>
      <c r="J1443" s="2888" t="s">
        <v>676</v>
      </c>
      <c r="K1443" s="2908"/>
      <c r="L1443" s="2888" t="s">
        <v>676</v>
      </c>
      <c r="M1443" s="2908"/>
      <c r="N1443" s="2271" t="s">
        <v>676</v>
      </c>
      <c r="O1443" s="2271" t="s">
        <v>676</v>
      </c>
      <c r="P1443" s="2271" t="s">
        <v>676</v>
      </c>
      <c r="Q1443" s="2272" t="s">
        <v>676</v>
      </c>
      <c r="R1443" s="2270" t="s">
        <v>2769</v>
      </c>
      <c r="S1443" s="2270">
        <v>0</v>
      </c>
      <c r="T1443" s="2271" t="s">
        <v>676</v>
      </c>
      <c r="U1443" s="2271" t="s">
        <v>676</v>
      </c>
      <c r="V1443" s="2271" t="s">
        <v>676</v>
      </c>
      <c r="W1443" s="2271" t="s">
        <v>676</v>
      </c>
    </row>
    <row r="1444" spans="4:23" ht="30">
      <c r="D1444" s="2316"/>
      <c r="E1444" s="2271" t="s">
        <v>676</v>
      </c>
      <c r="F1444" s="2891" t="s">
        <v>676</v>
      </c>
      <c r="G1444" s="2907"/>
      <c r="H1444" s="2907"/>
      <c r="I1444" s="2908"/>
      <c r="J1444" s="2892" t="s">
        <v>676</v>
      </c>
      <c r="K1444" s="2907"/>
      <c r="L1444" s="2888" t="s">
        <v>676</v>
      </c>
      <c r="M1444" s="2908"/>
      <c r="N1444" s="2271" t="s">
        <v>676</v>
      </c>
      <c r="O1444" s="2271" t="s">
        <v>676</v>
      </c>
      <c r="P1444" s="2271" t="s">
        <v>676</v>
      </c>
      <c r="Q1444" s="2272" t="s">
        <v>676</v>
      </c>
      <c r="R1444" s="2270" t="s">
        <v>2770</v>
      </c>
      <c r="S1444" s="2270">
        <v>0</v>
      </c>
      <c r="T1444" s="2271" t="s">
        <v>676</v>
      </c>
      <c r="U1444" s="2271" t="s">
        <v>676</v>
      </c>
      <c r="V1444" s="2271" t="s">
        <v>676</v>
      </c>
      <c r="W1444" s="2271" t="s">
        <v>676</v>
      </c>
    </row>
    <row r="1445" spans="4:23" ht="45">
      <c r="D1445" s="2316"/>
      <c r="E1445" s="2268">
        <v>3</v>
      </c>
      <c r="F1445" s="2882" t="s">
        <v>3176</v>
      </c>
      <c r="G1445" s="2905"/>
      <c r="H1445" s="2905"/>
      <c r="I1445" s="2906"/>
      <c r="J1445" s="2882" t="s">
        <v>1787</v>
      </c>
      <c r="K1445" s="2906"/>
      <c r="L1445" s="2882" t="s">
        <v>2762</v>
      </c>
      <c r="M1445" s="2906"/>
      <c r="N1445" s="2268" t="s">
        <v>2763</v>
      </c>
      <c r="O1445" s="2268" t="s">
        <v>2764</v>
      </c>
      <c r="P1445" s="2268" t="s">
        <v>2765</v>
      </c>
      <c r="Q1445" s="2269">
        <v>90000</v>
      </c>
      <c r="R1445" s="2270" t="s">
        <v>2766</v>
      </c>
      <c r="S1445" s="2270">
        <v>90000</v>
      </c>
      <c r="T1445" s="2268"/>
      <c r="U1445" s="2268" t="s">
        <v>2767</v>
      </c>
      <c r="V1445" s="2268" t="s">
        <v>2768</v>
      </c>
      <c r="W1445" s="2268"/>
    </row>
    <row r="1446" spans="4:23" ht="30">
      <c r="D1446" s="2316"/>
      <c r="E1446" s="2271" t="s">
        <v>676</v>
      </c>
      <c r="F1446" s="2888" t="s">
        <v>676</v>
      </c>
      <c r="G1446" s="2907"/>
      <c r="H1446" s="2907"/>
      <c r="I1446" s="2908"/>
      <c r="J1446" s="2888" t="s">
        <v>676</v>
      </c>
      <c r="K1446" s="2908"/>
      <c r="L1446" s="2888" t="s">
        <v>676</v>
      </c>
      <c r="M1446" s="2908"/>
      <c r="N1446" s="2271" t="s">
        <v>676</v>
      </c>
      <c r="O1446" s="2271" t="s">
        <v>676</v>
      </c>
      <c r="P1446" s="2271" t="s">
        <v>676</v>
      </c>
      <c r="Q1446" s="2272" t="s">
        <v>676</v>
      </c>
      <c r="R1446" s="2270" t="s">
        <v>2769</v>
      </c>
      <c r="S1446" s="2270">
        <v>0</v>
      </c>
      <c r="T1446" s="2271" t="s">
        <v>676</v>
      </c>
      <c r="U1446" s="2271" t="s">
        <v>676</v>
      </c>
      <c r="V1446" s="2271" t="s">
        <v>676</v>
      </c>
      <c r="W1446" s="2271" t="s">
        <v>676</v>
      </c>
    </row>
    <row r="1447" spans="4:23" ht="30">
      <c r="D1447" s="2316"/>
      <c r="E1447" s="2273" t="s">
        <v>676</v>
      </c>
      <c r="F1447" s="2896" t="s">
        <v>676</v>
      </c>
      <c r="G1447" s="2897"/>
      <c r="H1447" s="2897"/>
      <c r="I1447" s="2898"/>
      <c r="J1447" s="2899" t="s">
        <v>676</v>
      </c>
      <c r="K1447" s="2897"/>
      <c r="L1447" s="2900" t="s">
        <v>676</v>
      </c>
      <c r="M1447" s="2898"/>
      <c r="N1447" s="2273" t="s">
        <v>676</v>
      </c>
      <c r="O1447" s="2273" t="s">
        <v>676</v>
      </c>
      <c r="P1447" s="2273" t="s">
        <v>676</v>
      </c>
      <c r="Q1447" s="2274" t="s">
        <v>676</v>
      </c>
      <c r="R1447" s="2270" t="s">
        <v>2770</v>
      </c>
      <c r="S1447" s="2270">
        <v>0</v>
      </c>
      <c r="T1447" s="2273" t="s">
        <v>676</v>
      </c>
      <c r="U1447" s="2273" t="s">
        <v>676</v>
      </c>
      <c r="V1447" s="2273" t="s">
        <v>676</v>
      </c>
      <c r="W1447" s="2273" t="s">
        <v>676</v>
      </c>
    </row>
    <row r="1448" spans="4:23" ht="30">
      <c r="D1448" s="1586"/>
      <c r="E1448" s="2429"/>
      <c r="F1448" s="2430" t="s">
        <v>82</v>
      </c>
      <c r="G1448" s="2431"/>
      <c r="H1448" s="2431"/>
      <c r="I1448" s="2431"/>
      <c r="J1448" s="2430"/>
      <c r="K1448" s="2431"/>
      <c r="L1448" s="2430"/>
      <c r="M1448" s="2431"/>
      <c r="N1448" s="2430"/>
      <c r="O1448" s="2430"/>
      <c r="P1448" s="2430"/>
      <c r="Q1448" s="2432">
        <f>SUM(Q1439:Q1447)</f>
        <v>265000</v>
      </c>
      <c r="R1448" s="2432"/>
      <c r="S1448" s="2432">
        <f>SUM(S1439:S1447)</f>
        <v>265000</v>
      </c>
      <c r="T1448" s="2430"/>
      <c r="U1448" s="2430"/>
      <c r="V1448" s="2430"/>
      <c r="W1448" s="2433"/>
    </row>
    <row r="1449" spans="4:23" ht="20.25">
      <c r="D1449" s="2359"/>
      <c r="E1449" s="2335"/>
      <c r="F1449" s="2465"/>
      <c r="G1449" s="2335"/>
      <c r="H1449" s="2335"/>
      <c r="I1449" s="2324"/>
      <c r="J1449" s="2335"/>
      <c r="K1449" s="2465"/>
      <c r="L1449" s="2324"/>
      <c r="M1449" s="2324"/>
      <c r="N1449" s="2359"/>
      <c r="O1449" s="2359"/>
      <c r="P1449" s="2359"/>
      <c r="Q1449" s="2326"/>
      <c r="R1449" s="2284" t="s">
        <v>2789</v>
      </c>
      <c r="S1449" s="2326"/>
      <c r="T1449" s="2359"/>
      <c r="U1449" s="2359"/>
      <c r="V1449" s="2359"/>
      <c r="W1449" s="2359"/>
    </row>
    <row r="1450" spans="4:23" ht="20.25">
      <c r="D1450" s="2359"/>
      <c r="E1450" s="2359"/>
      <c r="F1450" s="2360"/>
      <c r="G1450" s="2359"/>
      <c r="H1450" s="2359"/>
      <c r="I1450" s="2466"/>
      <c r="J1450" s="2359"/>
      <c r="K1450" s="2360"/>
      <c r="L1450" s="2326"/>
      <c r="M1450" s="2326"/>
      <c r="N1450" s="2359"/>
      <c r="O1450" s="2359"/>
      <c r="P1450" s="2359"/>
      <c r="Q1450" s="2326"/>
      <c r="R1450" s="2284" t="s">
        <v>2790</v>
      </c>
      <c r="S1450" s="2326"/>
      <c r="T1450" s="2359"/>
      <c r="U1450" s="2359"/>
      <c r="V1450" s="2359"/>
      <c r="W1450" s="2359"/>
    </row>
    <row r="1451" spans="4:23" ht="20.25">
      <c r="D1451" s="2911" t="s">
        <v>2749</v>
      </c>
      <c r="E1451" s="2911"/>
      <c r="F1451" s="2911"/>
      <c r="G1451" s="2911"/>
      <c r="H1451" s="2911"/>
      <c r="I1451" s="2911"/>
      <c r="J1451" s="2911"/>
      <c r="K1451" s="1586"/>
      <c r="L1451" s="1586"/>
      <c r="M1451" s="1586"/>
      <c r="N1451" s="1586"/>
      <c r="O1451" s="1586"/>
      <c r="P1451" s="1586"/>
      <c r="Q1451" s="2314"/>
      <c r="R1451" s="2314"/>
      <c r="S1451" s="2314"/>
      <c r="T1451" s="1586"/>
      <c r="U1451" s="1586"/>
      <c r="V1451" s="1586"/>
      <c r="W1451" s="1586"/>
    </row>
    <row r="1452" spans="4:23" ht="15">
      <c r="D1452" s="1586"/>
      <c r="E1452" s="1586"/>
      <c r="F1452" s="1586"/>
      <c r="G1452" s="1586"/>
      <c r="H1452" s="1586"/>
      <c r="I1452" s="1586"/>
      <c r="J1452" s="1586"/>
      <c r="K1452" s="1586"/>
      <c r="L1452" s="1586"/>
      <c r="M1452" s="1586"/>
      <c r="N1452" s="1586"/>
      <c r="O1452" s="1586"/>
      <c r="P1452" s="1586"/>
      <c r="Q1452" s="2314"/>
      <c r="R1452" s="2314"/>
      <c r="S1452" s="2314"/>
      <c r="T1452" s="1586"/>
      <c r="U1452" s="1586"/>
      <c r="V1452" s="1586"/>
      <c r="W1452" s="1586"/>
    </row>
    <row r="1453" spans="4:23" ht="15.75">
      <c r="D1453" s="2912" t="s">
        <v>653</v>
      </c>
      <c r="E1453" s="2912"/>
      <c r="F1453" s="2912"/>
      <c r="G1453" s="1586"/>
      <c r="H1453" s="2315">
        <v>2020</v>
      </c>
      <c r="I1453" s="1586"/>
      <c r="J1453" s="1586"/>
      <c r="K1453" s="1586"/>
      <c r="L1453" s="1586"/>
      <c r="M1453" s="1586"/>
      <c r="N1453" s="1586"/>
      <c r="O1453" s="1586"/>
      <c r="P1453" s="1586"/>
      <c r="Q1453" s="2314"/>
      <c r="R1453" s="2314"/>
      <c r="S1453" s="2314"/>
      <c r="T1453" s="1586"/>
      <c r="U1453" s="1586"/>
      <c r="V1453" s="1586"/>
      <c r="W1453" s="1586"/>
    </row>
    <row r="1454" spans="4:23" ht="15">
      <c r="D1454" s="1586"/>
      <c r="E1454" s="1586"/>
      <c r="F1454" s="1586"/>
      <c r="G1454" s="1586"/>
      <c r="H1454" s="1586"/>
      <c r="I1454" s="1586"/>
      <c r="J1454" s="1586"/>
      <c r="K1454" s="1586"/>
      <c r="L1454" s="1586"/>
      <c r="M1454" s="1586"/>
      <c r="N1454" s="1586"/>
      <c r="O1454" s="1586"/>
      <c r="P1454" s="1586"/>
      <c r="Q1454" s="2314"/>
      <c r="R1454" s="2314"/>
      <c r="S1454" s="2314"/>
      <c r="T1454" s="1586"/>
      <c r="U1454" s="1586"/>
      <c r="V1454" s="1586"/>
      <c r="W1454" s="1586"/>
    </row>
    <row r="1455" spans="4:23" ht="15.75">
      <c r="D1455" s="2912" t="s">
        <v>655</v>
      </c>
      <c r="E1455" s="2912"/>
      <c r="F1455" s="2912"/>
      <c r="G1455" s="1586"/>
      <c r="H1455" s="2925" t="s">
        <v>3177</v>
      </c>
      <c r="I1455" s="2926"/>
      <c r="J1455" s="2926"/>
      <c r="K1455" s="2926"/>
      <c r="L1455" s="2926"/>
      <c r="M1455" s="1586"/>
      <c r="N1455" s="1586"/>
      <c r="O1455" s="1586"/>
      <c r="P1455" s="1586"/>
      <c r="Q1455" s="2314"/>
      <c r="R1455" s="2314"/>
      <c r="S1455" s="2314"/>
      <c r="T1455" s="1586"/>
      <c r="U1455" s="1586"/>
      <c r="V1455" s="1586"/>
      <c r="W1455" s="1586"/>
    </row>
    <row r="1456" spans="4:23" ht="15">
      <c r="D1456" s="1586"/>
      <c r="E1456" s="1586"/>
      <c r="F1456" s="1586"/>
      <c r="G1456" s="1586"/>
      <c r="H1456" s="1586"/>
      <c r="I1456" s="1586"/>
      <c r="J1456" s="1586"/>
      <c r="K1456" s="1586"/>
      <c r="L1456" s="1586"/>
      <c r="M1456" s="1586"/>
      <c r="N1456" s="1586"/>
      <c r="O1456" s="1586"/>
      <c r="P1456" s="1586"/>
      <c r="Q1456" s="2314"/>
      <c r="R1456" s="2314"/>
      <c r="S1456" s="2314"/>
      <c r="T1456" s="1586"/>
      <c r="U1456" s="1586"/>
      <c r="V1456" s="1586"/>
      <c r="W1456" s="1586"/>
    </row>
    <row r="1457" spans="4:23" ht="78.75">
      <c r="D1457" s="1586"/>
      <c r="E1457" s="2467" t="s">
        <v>657</v>
      </c>
      <c r="F1457" s="2927" t="s">
        <v>587</v>
      </c>
      <c r="G1457" s="2928"/>
      <c r="H1457" s="2928"/>
      <c r="I1457" s="2929"/>
      <c r="J1457" s="2927" t="s">
        <v>2751</v>
      </c>
      <c r="K1457" s="2929"/>
      <c r="L1457" s="2927" t="s">
        <v>2752</v>
      </c>
      <c r="M1457" s="2929"/>
      <c r="N1457" s="2467" t="s">
        <v>2753</v>
      </c>
      <c r="O1457" s="2467" t="s">
        <v>2754</v>
      </c>
      <c r="P1457" s="2467" t="s">
        <v>2755</v>
      </c>
      <c r="Q1457" s="2468" t="s">
        <v>2756</v>
      </c>
      <c r="R1457" s="2468" t="s">
        <v>2757</v>
      </c>
      <c r="S1457" s="2468" t="s">
        <v>2758</v>
      </c>
      <c r="T1457" s="2467" t="s">
        <v>623</v>
      </c>
      <c r="U1457" s="2467" t="s">
        <v>2759</v>
      </c>
      <c r="V1457" s="2467" t="s">
        <v>2760</v>
      </c>
      <c r="W1457" s="2467" t="s">
        <v>2761</v>
      </c>
    </row>
    <row r="1458" spans="4:23" ht="45">
      <c r="D1458" s="1586"/>
      <c r="E1458" s="2469">
        <v>1</v>
      </c>
      <c r="F1458" s="2922" t="s">
        <v>3178</v>
      </c>
      <c r="G1458" s="2923"/>
      <c r="H1458" s="2923"/>
      <c r="I1458" s="2924"/>
      <c r="J1458" s="2922" t="s">
        <v>2136</v>
      </c>
      <c r="K1458" s="2924"/>
      <c r="L1458" s="2922" t="s">
        <v>2762</v>
      </c>
      <c r="M1458" s="2924"/>
      <c r="N1458" s="2469" t="s">
        <v>2763</v>
      </c>
      <c r="O1458" s="2469" t="s">
        <v>2764</v>
      </c>
      <c r="P1458" s="2469" t="s">
        <v>2765</v>
      </c>
      <c r="Q1458" s="2470">
        <v>100000</v>
      </c>
      <c r="R1458" s="2471" t="s">
        <v>2766</v>
      </c>
      <c r="S1458" s="2471">
        <v>100000</v>
      </c>
      <c r="T1458" s="2469"/>
      <c r="U1458" s="2469" t="s">
        <v>2767</v>
      </c>
      <c r="V1458" s="2469" t="s">
        <v>2768</v>
      </c>
      <c r="W1458" s="2469"/>
    </row>
    <row r="1459" spans="4:23" ht="30">
      <c r="D1459" s="1586"/>
      <c r="E1459" s="2472" t="s">
        <v>676</v>
      </c>
      <c r="F1459" s="2917" t="s">
        <v>676</v>
      </c>
      <c r="G1459" s="2914"/>
      <c r="H1459" s="2914"/>
      <c r="I1459" s="2918"/>
      <c r="J1459" s="2917" t="s">
        <v>676</v>
      </c>
      <c r="K1459" s="2918"/>
      <c r="L1459" s="2917" t="s">
        <v>676</v>
      </c>
      <c r="M1459" s="2918"/>
      <c r="N1459" s="2472" t="s">
        <v>676</v>
      </c>
      <c r="O1459" s="2472" t="s">
        <v>676</v>
      </c>
      <c r="P1459" s="2472" t="s">
        <v>676</v>
      </c>
      <c r="Q1459" s="2473" t="s">
        <v>676</v>
      </c>
      <c r="R1459" s="2471" t="s">
        <v>2769</v>
      </c>
      <c r="S1459" s="2471">
        <v>0</v>
      </c>
      <c r="T1459" s="2472" t="s">
        <v>676</v>
      </c>
      <c r="U1459" s="2472" t="s">
        <v>676</v>
      </c>
      <c r="V1459" s="2472" t="s">
        <v>676</v>
      </c>
      <c r="W1459" s="2472" t="s">
        <v>676</v>
      </c>
    </row>
    <row r="1460" spans="4:23" ht="30">
      <c r="D1460" s="1586"/>
      <c r="E1460" s="2472" t="s">
        <v>676</v>
      </c>
      <c r="F1460" s="2919" t="s">
        <v>676</v>
      </c>
      <c r="G1460" s="2914"/>
      <c r="H1460" s="2914"/>
      <c r="I1460" s="2918"/>
      <c r="J1460" s="2921" t="s">
        <v>676</v>
      </c>
      <c r="K1460" s="2914"/>
      <c r="L1460" s="2917" t="s">
        <v>676</v>
      </c>
      <c r="M1460" s="2918"/>
      <c r="N1460" s="2472" t="s">
        <v>676</v>
      </c>
      <c r="O1460" s="2472" t="s">
        <v>676</v>
      </c>
      <c r="P1460" s="2472" t="s">
        <v>676</v>
      </c>
      <c r="Q1460" s="2473" t="s">
        <v>676</v>
      </c>
      <c r="R1460" s="2471" t="s">
        <v>2770</v>
      </c>
      <c r="S1460" s="2471">
        <v>0</v>
      </c>
      <c r="T1460" s="2472" t="s">
        <v>676</v>
      </c>
      <c r="U1460" s="2472" t="s">
        <v>676</v>
      </c>
      <c r="V1460" s="2472" t="s">
        <v>676</v>
      </c>
      <c r="W1460" s="2472" t="s">
        <v>676</v>
      </c>
    </row>
    <row r="1461" spans="4:23" ht="45">
      <c r="D1461" s="1586"/>
      <c r="E1461" s="2469">
        <v>2</v>
      </c>
      <c r="F1461" s="2922" t="s">
        <v>2086</v>
      </c>
      <c r="G1461" s="2923"/>
      <c r="H1461" s="2923"/>
      <c r="I1461" s="2924"/>
      <c r="J1461" s="2922" t="s">
        <v>3179</v>
      </c>
      <c r="K1461" s="2924"/>
      <c r="L1461" s="2922" t="s">
        <v>2762</v>
      </c>
      <c r="M1461" s="2924"/>
      <c r="N1461" s="2469" t="s">
        <v>2763</v>
      </c>
      <c r="O1461" s="2469" t="s">
        <v>2775</v>
      </c>
      <c r="P1461" s="2469" t="s">
        <v>2765</v>
      </c>
      <c r="Q1461" s="2470">
        <v>100000</v>
      </c>
      <c r="R1461" s="2471" t="s">
        <v>2766</v>
      </c>
      <c r="S1461" s="2471">
        <v>100000</v>
      </c>
      <c r="T1461" s="2469"/>
      <c r="U1461" s="2469" t="s">
        <v>2767</v>
      </c>
      <c r="V1461" s="2469" t="s">
        <v>2768</v>
      </c>
      <c r="W1461" s="2469"/>
    </row>
    <row r="1462" spans="4:23" ht="30">
      <c r="D1462" s="1586"/>
      <c r="E1462" s="2472" t="s">
        <v>676</v>
      </c>
      <c r="F1462" s="2917" t="s">
        <v>676</v>
      </c>
      <c r="G1462" s="2914"/>
      <c r="H1462" s="2914"/>
      <c r="I1462" s="2918"/>
      <c r="J1462" s="2917" t="s">
        <v>676</v>
      </c>
      <c r="K1462" s="2918"/>
      <c r="L1462" s="2917" t="s">
        <v>676</v>
      </c>
      <c r="M1462" s="2918"/>
      <c r="N1462" s="2472" t="s">
        <v>676</v>
      </c>
      <c r="O1462" s="2472" t="s">
        <v>676</v>
      </c>
      <c r="P1462" s="2472" t="s">
        <v>676</v>
      </c>
      <c r="Q1462" s="2473" t="s">
        <v>676</v>
      </c>
      <c r="R1462" s="2471" t="s">
        <v>2769</v>
      </c>
      <c r="S1462" s="2471">
        <v>0</v>
      </c>
      <c r="T1462" s="2472" t="s">
        <v>676</v>
      </c>
      <c r="U1462" s="2472" t="s">
        <v>676</v>
      </c>
      <c r="V1462" s="2472" t="s">
        <v>676</v>
      </c>
      <c r="W1462" s="2472" t="s">
        <v>676</v>
      </c>
    </row>
    <row r="1463" spans="4:23" ht="30">
      <c r="D1463" s="1586"/>
      <c r="E1463" s="2472" t="s">
        <v>676</v>
      </c>
      <c r="F1463" s="2919" t="s">
        <v>676</v>
      </c>
      <c r="G1463" s="2920"/>
      <c r="H1463" s="2920"/>
      <c r="I1463" s="2918"/>
      <c r="J1463" s="2921" t="s">
        <v>676</v>
      </c>
      <c r="K1463" s="2920"/>
      <c r="L1463" s="2917" t="s">
        <v>676</v>
      </c>
      <c r="M1463" s="2918"/>
      <c r="N1463" s="2472" t="s">
        <v>676</v>
      </c>
      <c r="O1463" s="2472" t="s">
        <v>676</v>
      </c>
      <c r="P1463" s="2472" t="s">
        <v>676</v>
      </c>
      <c r="Q1463" s="2473" t="s">
        <v>676</v>
      </c>
      <c r="R1463" s="2470" t="s">
        <v>2770</v>
      </c>
      <c r="S1463" s="2470">
        <v>0</v>
      </c>
      <c r="T1463" s="2472" t="s">
        <v>676</v>
      </c>
      <c r="U1463" s="2472" t="s">
        <v>676</v>
      </c>
      <c r="V1463" s="2472" t="s">
        <v>676</v>
      </c>
      <c r="W1463" s="2472" t="s">
        <v>676</v>
      </c>
    </row>
    <row r="1464" spans="4:23" ht="30">
      <c r="D1464" s="2359"/>
      <c r="E1464" s="2362"/>
      <c r="F1464" s="2436" t="s">
        <v>82</v>
      </c>
      <c r="G1464" s="2437"/>
      <c r="H1464" s="2338"/>
      <c r="I1464" s="2338"/>
      <c r="J1464" s="2338"/>
      <c r="K1464" s="2338"/>
      <c r="L1464" s="2365"/>
      <c r="M1464" s="2365"/>
      <c r="N1464" s="2365"/>
      <c r="O1464" s="2338"/>
      <c r="P1464" s="2338"/>
      <c r="Q1464" s="2365">
        <f>SUM(Q1458:Q1463)</f>
        <v>200000</v>
      </c>
      <c r="R1464" s="2365"/>
      <c r="S1464" s="2340">
        <f>SUM(S1458:S1463)</f>
        <v>200000</v>
      </c>
      <c r="T1464" s="2337"/>
      <c r="U1464" s="2337"/>
      <c r="V1464" s="2337"/>
      <c r="W1464" s="2342"/>
    </row>
    <row r="1465" spans="4:23" ht="20.25">
      <c r="D1465" s="2326"/>
      <c r="E1465" s="2324"/>
      <c r="F1465" s="2325"/>
      <c r="G1465" s="2324"/>
      <c r="H1465" s="2324"/>
      <c r="I1465" s="2325"/>
      <c r="J1465" s="2324"/>
      <c r="K1465" s="2324"/>
      <c r="L1465" s="2324"/>
      <c r="M1465" s="2324"/>
      <c r="N1465" s="2326"/>
      <c r="O1465" s="2326"/>
      <c r="P1465" s="2326"/>
      <c r="Q1465" s="2326"/>
      <c r="R1465" s="2284" t="s">
        <v>2789</v>
      </c>
      <c r="S1465" s="2326"/>
      <c r="T1465" s="2326"/>
      <c r="U1465" s="2326"/>
      <c r="V1465" s="2326"/>
      <c r="W1465" s="2326"/>
    </row>
    <row r="1466" spans="4:23" ht="20.25">
      <c r="D1466" s="2326"/>
      <c r="E1466" s="2326"/>
      <c r="F1466" s="2326"/>
      <c r="G1466" s="2326"/>
      <c r="H1466" s="2326"/>
      <c r="I1466" s="2326"/>
      <c r="J1466" s="2326"/>
      <c r="K1466" s="2326"/>
      <c r="L1466" s="2326"/>
      <c r="M1466" s="2326"/>
      <c r="N1466" s="2326"/>
      <c r="O1466" s="2326"/>
      <c r="P1466" s="2326"/>
      <c r="Q1466" s="2326"/>
      <c r="R1466" s="2284" t="s">
        <v>2790</v>
      </c>
      <c r="S1466" s="2326"/>
      <c r="T1466" s="2326"/>
      <c r="U1466" s="2326"/>
      <c r="V1466" s="2326"/>
      <c r="W1466" s="2326"/>
    </row>
    <row r="1467" spans="4:23" ht="15">
      <c r="D1467" s="2359"/>
      <c r="E1467" s="2359"/>
      <c r="F1467" s="2360"/>
      <c r="G1467" s="2359"/>
      <c r="H1467" s="2359"/>
      <c r="I1467" s="2359"/>
      <c r="J1467" s="2359"/>
      <c r="K1467" s="2360"/>
      <c r="L1467" s="2326"/>
      <c r="M1467" s="2360"/>
      <c r="N1467" s="2359"/>
      <c r="O1467" s="2359"/>
      <c r="P1467" s="2359"/>
      <c r="Q1467" s="2326"/>
      <c r="R1467" s="2326"/>
      <c r="S1467" s="2326"/>
      <c r="T1467" s="2359"/>
      <c r="U1467" s="2359"/>
      <c r="V1467" s="2359"/>
      <c r="W1467" s="2359"/>
    </row>
    <row r="1468" spans="4:23" ht="20.25">
      <c r="D1468" s="2911" t="s">
        <v>2749</v>
      </c>
      <c r="E1468" s="2911"/>
      <c r="F1468" s="2911"/>
      <c r="G1468" s="2911"/>
      <c r="H1468" s="2911"/>
      <c r="I1468" s="2911"/>
      <c r="J1468" s="2911"/>
      <c r="K1468" s="1586"/>
      <c r="L1468" s="1586"/>
      <c r="M1468" s="1586"/>
      <c r="N1468" s="1586"/>
      <c r="O1468" s="1586"/>
      <c r="P1468" s="1586"/>
      <c r="Q1468" s="2314"/>
      <c r="R1468" s="2314"/>
      <c r="S1468" s="2314"/>
      <c r="T1468" s="1586"/>
      <c r="U1468" s="1586"/>
      <c r="V1468" s="1586"/>
      <c r="W1468" s="1586"/>
    </row>
    <row r="1469" spans="4:23" ht="15">
      <c r="D1469" s="1586"/>
      <c r="E1469" s="1586"/>
      <c r="F1469" s="1586"/>
      <c r="G1469" s="1586"/>
      <c r="H1469" s="1586"/>
      <c r="I1469" s="1586"/>
      <c r="J1469" s="1586"/>
      <c r="K1469" s="1586"/>
      <c r="L1469" s="1586"/>
      <c r="M1469" s="1586"/>
      <c r="N1469" s="1586"/>
      <c r="O1469" s="1586"/>
      <c r="P1469" s="1586"/>
      <c r="Q1469" s="2314"/>
      <c r="R1469" s="2314"/>
      <c r="S1469" s="2314"/>
      <c r="T1469" s="1586"/>
      <c r="U1469" s="1586"/>
      <c r="V1469" s="1586"/>
      <c r="W1469" s="1586"/>
    </row>
    <row r="1470" spans="4:23" ht="15.75">
      <c r="D1470" s="2912" t="s">
        <v>653</v>
      </c>
      <c r="E1470" s="2912"/>
      <c r="F1470" s="2912"/>
      <c r="G1470" s="1586"/>
      <c r="H1470" s="2315">
        <v>2020</v>
      </c>
      <c r="I1470" s="1586"/>
      <c r="J1470" s="1586"/>
      <c r="K1470" s="1586"/>
      <c r="L1470" s="1586"/>
      <c r="M1470" s="1586"/>
      <c r="N1470" s="1586"/>
      <c r="O1470" s="1586"/>
      <c r="P1470" s="1586"/>
      <c r="Q1470" s="2314"/>
      <c r="R1470" s="2314"/>
      <c r="S1470" s="2314"/>
      <c r="T1470" s="1586"/>
      <c r="U1470" s="1586"/>
      <c r="V1470" s="1586"/>
      <c r="W1470" s="1586"/>
    </row>
    <row r="1471" spans="4:23" ht="15">
      <c r="D1471" s="1586"/>
      <c r="E1471" s="1586"/>
      <c r="F1471" s="1586"/>
      <c r="G1471" s="1586"/>
      <c r="H1471" s="1586"/>
      <c r="I1471" s="1586"/>
      <c r="J1471" s="1586"/>
      <c r="K1471" s="1586"/>
      <c r="L1471" s="1586"/>
      <c r="M1471" s="1586"/>
      <c r="N1471" s="1586"/>
      <c r="O1471" s="1586"/>
      <c r="P1471" s="1586"/>
      <c r="Q1471" s="2314"/>
      <c r="R1471" s="2314"/>
      <c r="S1471" s="2314"/>
      <c r="T1471" s="1586"/>
      <c r="U1471" s="1586"/>
      <c r="V1471" s="1586"/>
      <c r="W1471" s="1586"/>
    </row>
    <row r="1472" spans="4:23" ht="15.75">
      <c r="D1472" s="2912" t="s">
        <v>655</v>
      </c>
      <c r="E1472" s="2912"/>
      <c r="F1472" s="2912"/>
      <c r="G1472" s="1586"/>
      <c r="H1472" s="2915" t="s">
        <v>3180</v>
      </c>
      <c r="I1472" s="2916"/>
      <c r="J1472" s="2916"/>
      <c r="K1472" s="2916"/>
      <c r="L1472" s="2916"/>
      <c r="M1472" s="1586"/>
      <c r="N1472" s="1586"/>
      <c r="O1472" s="1586"/>
      <c r="P1472" s="1586"/>
      <c r="Q1472" s="2314"/>
      <c r="R1472" s="2314"/>
      <c r="S1472" s="2314"/>
      <c r="T1472" s="1586"/>
      <c r="U1472" s="1586"/>
      <c r="V1472" s="1586"/>
      <c r="W1472" s="1586"/>
    </row>
    <row r="1473" spans="4:23" ht="15">
      <c r="D1473" s="1586"/>
      <c r="E1473" s="1586"/>
      <c r="F1473" s="1586"/>
      <c r="G1473" s="1586"/>
      <c r="H1473" s="1586"/>
      <c r="I1473" s="1586"/>
      <c r="J1473" s="1586"/>
      <c r="K1473" s="1586"/>
      <c r="L1473" s="1586"/>
      <c r="M1473" s="1586"/>
      <c r="N1473" s="1586"/>
      <c r="O1473" s="1586"/>
      <c r="P1473" s="1586"/>
      <c r="Q1473" s="2314"/>
      <c r="R1473" s="2314"/>
      <c r="S1473" s="2314"/>
      <c r="T1473" s="1586"/>
      <c r="U1473" s="1586"/>
      <c r="V1473" s="1586"/>
      <c r="W1473" s="1586"/>
    </row>
    <row r="1474" spans="4:23" ht="78.75">
      <c r="D1474" s="2316"/>
      <c r="E1474" s="2266" t="s">
        <v>657</v>
      </c>
      <c r="F1474" s="2893" t="s">
        <v>587</v>
      </c>
      <c r="G1474" s="2909"/>
      <c r="H1474" s="2909"/>
      <c r="I1474" s="2910"/>
      <c r="J1474" s="2893" t="s">
        <v>2751</v>
      </c>
      <c r="K1474" s="2910"/>
      <c r="L1474" s="2893" t="s">
        <v>2752</v>
      </c>
      <c r="M1474" s="2910"/>
      <c r="N1474" s="2266" t="s">
        <v>2753</v>
      </c>
      <c r="O1474" s="2266" t="s">
        <v>2754</v>
      </c>
      <c r="P1474" s="2266" t="s">
        <v>2755</v>
      </c>
      <c r="Q1474" s="2266" t="s">
        <v>2756</v>
      </c>
      <c r="R1474" s="2266" t="s">
        <v>2757</v>
      </c>
      <c r="S1474" s="2266" t="s">
        <v>2758</v>
      </c>
      <c r="T1474" s="2266" t="s">
        <v>623</v>
      </c>
      <c r="U1474" s="2266" t="s">
        <v>2759</v>
      </c>
      <c r="V1474" s="2266" t="s">
        <v>2760</v>
      </c>
      <c r="W1474" s="2266" t="s">
        <v>2761</v>
      </c>
    </row>
    <row r="1475" spans="4:23" ht="45">
      <c r="D1475" s="2316"/>
      <c r="E1475" s="2268">
        <v>1</v>
      </c>
      <c r="F1475" s="2882" t="s">
        <v>1211</v>
      </c>
      <c r="G1475" s="2905"/>
      <c r="H1475" s="2905"/>
      <c r="I1475" s="2906"/>
      <c r="J1475" s="2882" t="s">
        <v>1212</v>
      </c>
      <c r="K1475" s="2906"/>
      <c r="L1475" s="2882" t="s">
        <v>2762</v>
      </c>
      <c r="M1475" s="2906"/>
      <c r="N1475" s="2268" t="s">
        <v>2763</v>
      </c>
      <c r="O1475" s="2268" t="s">
        <v>2775</v>
      </c>
      <c r="P1475" s="2268" t="s">
        <v>2765</v>
      </c>
      <c r="Q1475" s="2269">
        <v>100000</v>
      </c>
      <c r="R1475" s="2270" t="s">
        <v>2766</v>
      </c>
      <c r="S1475" s="2270">
        <v>100000</v>
      </c>
      <c r="T1475" s="2268"/>
      <c r="U1475" s="2268" t="s">
        <v>2767</v>
      </c>
      <c r="V1475" s="2268" t="s">
        <v>2835</v>
      </c>
      <c r="W1475" s="2268"/>
    </row>
    <row r="1476" spans="4:23" ht="30">
      <c r="D1476" s="2316"/>
      <c r="E1476" s="2271" t="s">
        <v>676</v>
      </c>
      <c r="F1476" s="2888" t="s">
        <v>676</v>
      </c>
      <c r="G1476" s="2907"/>
      <c r="H1476" s="2907"/>
      <c r="I1476" s="2908"/>
      <c r="J1476" s="2888" t="s">
        <v>676</v>
      </c>
      <c r="K1476" s="2908"/>
      <c r="L1476" s="2888" t="s">
        <v>676</v>
      </c>
      <c r="M1476" s="2908"/>
      <c r="N1476" s="2271" t="s">
        <v>676</v>
      </c>
      <c r="O1476" s="2271" t="s">
        <v>676</v>
      </c>
      <c r="P1476" s="2271" t="s">
        <v>676</v>
      </c>
      <c r="Q1476" s="2272" t="s">
        <v>676</v>
      </c>
      <c r="R1476" s="2270" t="s">
        <v>2769</v>
      </c>
      <c r="S1476" s="2270">
        <v>0</v>
      </c>
      <c r="T1476" s="2271" t="s">
        <v>676</v>
      </c>
      <c r="U1476" s="2271" t="s">
        <v>676</v>
      </c>
      <c r="V1476" s="2271" t="s">
        <v>676</v>
      </c>
      <c r="W1476" s="2271" t="s">
        <v>676</v>
      </c>
    </row>
    <row r="1477" spans="4:23" ht="30">
      <c r="D1477" s="2316"/>
      <c r="E1477" s="2271" t="s">
        <v>676</v>
      </c>
      <c r="F1477" s="2891" t="s">
        <v>676</v>
      </c>
      <c r="G1477" s="2907"/>
      <c r="H1477" s="2907"/>
      <c r="I1477" s="2908"/>
      <c r="J1477" s="2892" t="s">
        <v>676</v>
      </c>
      <c r="K1477" s="2907"/>
      <c r="L1477" s="2888" t="s">
        <v>676</v>
      </c>
      <c r="M1477" s="2908"/>
      <c r="N1477" s="2271" t="s">
        <v>676</v>
      </c>
      <c r="O1477" s="2271" t="s">
        <v>676</v>
      </c>
      <c r="P1477" s="2271" t="s">
        <v>676</v>
      </c>
      <c r="Q1477" s="2272" t="s">
        <v>676</v>
      </c>
      <c r="R1477" s="2270" t="s">
        <v>2770</v>
      </c>
      <c r="S1477" s="2270">
        <v>0</v>
      </c>
      <c r="T1477" s="2271" t="s">
        <v>676</v>
      </c>
      <c r="U1477" s="2271" t="s">
        <v>676</v>
      </c>
      <c r="V1477" s="2271" t="s">
        <v>676</v>
      </c>
      <c r="W1477" s="2271" t="s">
        <v>676</v>
      </c>
    </row>
    <row r="1478" spans="4:23" ht="45">
      <c r="D1478" s="2316"/>
      <c r="E1478" s="2268">
        <v>2</v>
      </c>
      <c r="F1478" s="2882" t="s">
        <v>3181</v>
      </c>
      <c r="G1478" s="2905"/>
      <c r="H1478" s="2905"/>
      <c r="I1478" s="2906"/>
      <c r="J1478" s="2882" t="s">
        <v>3182</v>
      </c>
      <c r="K1478" s="2906"/>
      <c r="L1478" s="2882" t="s">
        <v>2762</v>
      </c>
      <c r="M1478" s="2906"/>
      <c r="N1478" s="2268" t="s">
        <v>2763</v>
      </c>
      <c r="O1478" s="2268" t="s">
        <v>2764</v>
      </c>
      <c r="P1478" s="2268" t="s">
        <v>2765</v>
      </c>
      <c r="Q1478" s="2269">
        <v>100000</v>
      </c>
      <c r="R1478" s="2270" t="s">
        <v>2766</v>
      </c>
      <c r="S1478" s="2270">
        <v>100000</v>
      </c>
      <c r="T1478" s="2268"/>
      <c r="U1478" s="2268" t="s">
        <v>2767</v>
      </c>
      <c r="V1478" s="2268" t="s">
        <v>2835</v>
      </c>
      <c r="W1478" s="2268"/>
    </row>
    <row r="1479" spans="4:23" ht="30">
      <c r="D1479" s="2316"/>
      <c r="E1479" s="2271" t="s">
        <v>676</v>
      </c>
      <c r="F1479" s="2888" t="s">
        <v>676</v>
      </c>
      <c r="G1479" s="2907"/>
      <c r="H1479" s="2907"/>
      <c r="I1479" s="2908"/>
      <c r="J1479" s="2888" t="s">
        <v>676</v>
      </c>
      <c r="K1479" s="2908"/>
      <c r="L1479" s="2888" t="s">
        <v>676</v>
      </c>
      <c r="M1479" s="2908"/>
      <c r="N1479" s="2271" t="s">
        <v>676</v>
      </c>
      <c r="O1479" s="2271" t="s">
        <v>676</v>
      </c>
      <c r="P1479" s="2271" t="s">
        <v>676</v>
      </c>
      <c r="Q1479" s="2272" t="s">
        <v>676</v>
      </c>
      <c r="R1479" s="2270" t="s">
        <v>2769</v>
      </c>
      <c r="S1479" s="2270">
        <v>0</v>
      </c>
      <c r="T1479" s="2271" t="s">
        <v>676</v>
      </c>
      <c r="U1479" s="2271" t="s">
        <v>676</v>
      </c>
      <c r="V1479" s="2271" t="s">
        <v>676</v>
      </c>
      <c r="W1479" s="2271" t="s">
        <v>676</v>
      </c>
    </row>
    <row r="1480" spans="4:23" ht="30">
      <c r="D1480" s="2316"/>
      <c r="E1480" s="2271" t="s">
        <v>676</v>
      </c>
      <c r="F1480" s="2891" t="s">
        <v>676</v>
      </c>
      <c r="G1480" s="2907"/>
      <c r="H1480" s="2907"/>
      <c r="I1480" s="2908"/>
      <c r="J1480" s="2892" t="s">
        <v>676</v>
      </c>
      <c r="K1480" s="2907"/>
      <c r="L1480" s="2888" t="s">
        <v>676</v>
      </c>
      <c r="M1480" s="2908"/>
      <c r="N1480" s="2271" t="s">
        <v>676</v>
      </c>
      <c r="O1480" s="2271" t="s">
        <v>676</v>
      </c>
      <c r="P1480" s="2271" t="s">
        <v>676</v>
      </c>
      <c r="Q1480" s="2272" t="s">
        <v>676</v>
      </c>
      <c r="R1480" s="2270" t="s">
        <v>2770</v>
      </c>
      <c r="S1480" s="2270">
        <v>0</v>
      </c>
      <c r="T1480" s="2271" t="s">
        <v>676</v>
      </c>
      <c r="U1480" s="2271" t="s">
        <v>676</v>
      </c>
      <c r="V1480" s="2271" t="s">
        <v>676</v>
      </c>
      <c r="W1480" s="2271" t="s">
        <v>676</v>
      </c>
    </row>
    <row r="1481" spans="4:23" ht="45">
      <c r="D1481" s="2316"/>
      <c r="E1481" s="2268">
        <v>3</v>
      </c>
      <c r="F1481" s="2882" t="s">
        <v>3106</v>
      </c>
      <c r="G1481" s="2905"/>
      <c r="H1481" s="2905"/>
      <c r="I1481" s="2906"/>
      <c r="J1481" s="2882" t="s">
        <v>1212</v>
      </c>
      <c r="K1481" s="2906"/>
      <c r="L1481" s="2882" t="s">
        <v>2762</v>
      </c>
      <c r="M1481" s="2906"/>
      <c r="N1481" s="2268" t="s">
        <v>2763</v>
      </c>
      <c r="O1481" s="2268" t="s">
        <v>2775</v>
      </c>
      <c r="P1481" s="2268" t="s">
        <v>2765</v>
      </c>
      <c r="Q1481" s="2269">
        <v>50000</v>
      </c>
      <c r="R1481" s="2270" t="s">
        <v>2766</v>
      </c>
      <c r="S1481" s="2270">
        <v>50000</v>
      </c>
      <c r="T1481" s="2268"/>
      <c r="U1481" s="2268" t="s">
        <v>2767</v>
      </c>
      <c r="V1481" s="2268" t="s">
        <v>2835</v>
      </c>
      <c r="W1481" s="2268"/>
    </row>
    <row r="1482" spans="4:23" ht="30">
      <c r="D1482" s="2316"/>
      <c r="E1482" s="2271" t="s">
        <v>676</v>
      </c>
      <c r="F1482" s="2888" t="s">
        <v>676</v>
      </c>
      <c r="G1482" s="2907"/>
      <c r="H1482" s="2907"/>
      <c r="I1482" s="2908"/>
      <c r="J1482" s="2888" t="s">
        <v>676</v>
      </c>
      <c r="K1482" s="2908"/>
      <c r="L1482" s="2888" t="s">
        <v>676</v>
      </c>
      <c r="M1482" s="2908"/>
      <c r="N1482" s="2271" t="s">
        <v>676</v>
      </c>
      <c r="O1482" s="2271" t="s">
        <v>676</v>
      </c>
      <c r="P1482" s="2271" t="s">
        <v>676</v>
      </c>
      <c r="Q1482" s="2272" t="s">
        <v>676</v>
      </c>
      <c r="R1482" s="2270" t="s">
        <v>2769</v>
      </c>
      <c r="S1482" s="2270">
        <v>0</v>
      </c>
      <c r="T1482" s="2271" t="s">
        <v>676</v>
      </c>
      <c r="U1482" s="2271" t="s">
        <v>676</v>
      </c>
      <c r="V1482" s="2271" t="s">
        <v>676</v>
      </c>
      <c r="W1482" s="2271" t="s">
        <v>676</v>
      </c>
    </row>
    <row r="1483" spans="4:23" ht="30">
      <c r="D1483" s="2316"/>
      <c r="E1483" s="2271" t="s">
        <v>676</v>
      </c>
      <c r="F1483" s="2891" t="s">
        <v>676</v>
      </c>
      <c r="G1483" s="2907"/>
      <c r="H1483" s="2907"/>
      <c r="I1483" s="2908"/>
      <c r="J1483" s="2892" t="s">
        <v>676</v>
      </c>
      <c r="K1483" s="2907"/>
      <c r="L1483" s="2888" t="s">
        <v>676</v>
      </c>
      <c r="M1483" s="2908"/>
      <c r="N1483" s="2271" t="s">
        <v>676</v>
      </c>
      <c r="O1483" s="2271" t="s">
        <v>676</v>
      </c>
      <c r="P1483" s="2271" t="s">
        <v>676</v>
      </c>
      <c r="Q1483" s="2272" t="s">
        <v>676</v>
      </c>
      <c r="R1483" s="2270" t="s">
        <v>2770</v>
      </c>
      <c r="S1483" s="2270">
        <v>0</v>
      </c>
      <c r="T1483" s="2271" t="s">
        <v>676</v>
      </c>
      <c r="U1483" s="2271" t="s">
        <v>676</v>
      </c>
      <c r="V1483" s="2271" t="s">
        <v>676</v>
      </c>
      <c r="W1483" s="2271" t="s">
        <v>676</v>
      </c>
    </row>
    <row r="1484" spans="4:23" ht="45">
      <c r="D1484" s="2316"/>
      <c r="E1484" s="2268">
        <v>4</v>
      </c>
      <c r="F1484" s="2882" t="s">
        <v>3183</v>
      </c>
      <c r="G1484" s="2905"/>
      <c r="H1484" s="2905"/>
      <c r="I1484" s="2906"/>
      <c r="J1484" s="2882" t="s">
        <v>1212</v>
      </c>
      <c r="K1484" s="2906"/>
      <c r="L1484" s="2882" t="s">
        <v>2762</v>
      </c>
      <c r="M1484" s="2906"/>
      <c r="N1484" s="2268" t="s">
        <v>2763</v>
      </c>
      <c r="O1484" s="2268" t="s">
        <v>2775</v>
      </c>
      <c r="P1484" s="2268" t="s">
        <v>2765</v>
      </c>
      <c r="Q1484" s="2269">
        <v>50000</v>
      </c>
      <c r="R1484" s="2270" t="s">
        <v>2766</v>
      </c>
      <c r="S1484" s="2270">
        <v>50000</v>
      </c>
      <c r="T1484" s="2268"/>
      <c r="U1484" s="2268" t="s">
        <v>2767</v>
      </c>
      <c r="V1484" s="2268" t="s">
        <v>2835</v>
      </c>
      <c r="W1484" s="2268"/>
    </row>
    <row r="1485" spans="4:23" ht="30">
      <c r="D1485" s="2316"/>
      <c r="E1485" s="2271" t="s">
        <v>676</v>
      </c>
      <c r="F1485" s="2888" t="s">
        <v>676</v>
      </c>
      <c r="G1485" s="2907"/>
      <c r="H1485" s="2907"/>
      <c r="I1485" s="2908"/>
      <c r="J1485" s="2888" t="s">
        <v>676</v>
      </c>
      <c r="K1485" s="2908"/>
      <c r="L1485" s="2888" t="s">
        <v>676</v>
      </c>
      <c r="M1485" s="2908"/>
      <c r="N1485" s="2271" t="s">
        <v>676</v>
      </c>
      <c r="O1485" s="2271" t="s">
        <v>676</v>
      </c>
      <c r="P1485" s="2271" t="s">
        <v>676</v>
      </c>
      <c r="Q1485" s="2272" t="s">
        <v>676</v>
      </c>
      <c r="R1485" s="2270" t="s">
        <v>2769</v>
      </c>
      <c r="S1485" s="2270">
        <v>0</v>
      </c>
      <c r="T1485" s="2271" t="s">
        <v>676</v>
      </c>
      <c r="U1485" s="2271" t="s">
        <v>676</v>
      </c>
      <c r="V1485" s="2271" t="s">
        <v>676</v>
      </c>
      <c r="W1485" s="2271" t="s">
        <v>676</v>
      </c>
    </row>
    <row r="1486" spans="4:23" ht="30">
      <c r="D1486" s="2316"/>
      <c r="E1486" s="2271" t="s">
        <v>676</v>
      </c>
      <c r="F1486" s="2891" t="s">
        <v>676</v>
      </c>
      <c r="G1486" s="2907"/>
      <c r="H1486" s="2907"/>
      <c r="I1486" s="2908"/>
      <c r="J1486" s="2892" t="s">
        <v>676</v>
      </c>
      <c r="K1486" s="2907"/>
      <c r="L1486" s="2888" t="s">
        <v>676</v>
      </c>
      <c r="M1486" s="2908"/>
      <c r="N1486" s="2271" t="s">
        <v>676</v>
      </c>
      <c r="O1486" s="2271" t="s">
        <v>676</v>
      </c>
      <c r="P1486" s="2271" t="s">
        <v>676</v>
      </c>
      <c r="Q1486" s="2272" t="s">
        <v>676</v>
      </c>
      <c r="R1486" s="2270" t="s">
        <v>2770</v>
      </c>
      <c r="S1486" s="2270">
        <v>0</v>
      </c>
      <c r="T1486" s="2271" t="s">
        <v>676</v>
      </c>
      <c r="U1486" s="2271" t="s">
        <v>676</v>
      </c>
      <c r="V1486" s="2271" t="s">
        <v>676</v>
      </c>
      <c r="W1486" s="2271" t="s">
        <v>676</v>
      </c>
    </row>
    <row r="1487" spans="4:23" ht="45">
      <c r="D1487" s="2316"/>
      <c r="E1487" s="2268">
        <v>5</v>
      </c>
      <c r="F1487" s="2882" t="s">
        <v>3184</v>
      </c>
      <c r="G1487" s="2905"/>
      <c r="H1487" s="2905"/>
      <c r="I1487" s="2906"/>
      <c r="J1487" s="2882" t="s">
        <v>3185</v>
      </c>
      <c r="K1487" s="2906"/>
      <c r="L1487" s="2882" t="s">
        <v>2762</v>
      </c>
      <c r="M1487" s="2906"/>
      <c r="N1487" s="2268" t="s">
        <v>2763</v>
      </c>
      <c r="O1487" s="2268" t="s">
        <v>2764</v>
      </c>
      <c r="P1487" s="2268" t="s">
        <v>2765</v>
      </c>
      <c r="Q1487" s="2269">
        <v>95000</v>
      </c>
      <c r="R1487" s="2270" t="s">
        <v>2766</v>
      </c>
      <c r="S1487" s="2270">
        <v>95000</v>
      </c>
      <c r="T1487" s="2268"/>
      <c r="U1487" s="2268" t="s">
        <v>2767</v>
      </c>
      <c r="V1487" s="2268" t="s">
        <v>2835</v>
      </c>
      <c r="W1487" s="2268"/>
    </row>
    <row r="1488" spans="4:23" ht="30">
      <c r="D1488" s="2316"/>
      <c r="E1488" s="2271" t="s">
        <v>676</v>
      </c>
      <c r="F1488" s="2888" t="s">
        <v>676</v>
      </c>
      <c r="G1488" s="2907"/>
      <c r="H1488" s="2907"/>
      <c r="I1488" s="2908"/>
      <c r="J1488" s="2888" t="s">
        <v>676</v>
      </c>
      <c r="K1488" s="2908"/>
      <c r="L1488" s="2888" t="s">
        <v>676</v>
      </c>
      <c r="M1488" s="2908"/>
      <c r="N1488" s="2271" t="s">
        <v>676</v>
      </c>
      <c r="O1488" s="2271" t="s">
        <v>676</v>
      </c>
      <c r="P1488" s="2271" t="s">
        <v>676</v>
      </c>
      <c r="Q1488" s="2272" t="s">
        <v>676</v>
      </c>
      <c r="R1488" s="2270" t="s">
        <v>2769</v>
      </c>
      <c r="S1488" s="2270">
        <v>0</v>
      </c>
      <c r="T1488" s="2271" t="s">
        <v>676</v>
      </c>
      <c r="U1488" s="2271" t="s">
        <v>676</v>
      </c>
      <c r="V1488" s="2271" t="s">
        <v>676</v>
      </c>
      <c r="W1488" s="2271" t="s">
        <v>676</v>
      </c>
    </row>
    <row r="1489" spans="4:23" ht="30">
      <c r="D1489" s="2316"/>
      <c r="E1489" s="2273" t="s">
        <v>676</v>
      </c>
      <c r="F1489" s="2896" t="s">
        <v>676</v>
      </c>
      <c r="G1489" s="2897"/>
      <c r="H1489" s="2897"/>
      <c r="I1489" s="2898"/>
      <c r="J1489" s="2899" t="s">
        <v>676</v>
      </c>
      <c r="K1489" s="2897"/>
      <c r="L1489" s="2900" t="s">
        <v>676</v>
      </c>
      <c r="M1489" s="2898"/>
      <c r="N1489" s="2273" t="s">
        <v>676</v>
      </c>
      <c r="O1489" s="2273" t="s">
        <v>676</v>
      </c>
      <c r="P1489" s="2273" t="s">
        <v>676</v>
      </c>
      <c r="Q1489" s="2274" t="s">
        <v>676</v>
      </c>
      <c r="R1489" s="2270" t="s">
        <v>2770</v>
      </c>
      <c r="S1489" s="2270">
        <v>0</v>
      </c>
      <c r="T1489" s="2273" t="s">
        <v>676</v>
      </c>
      <c r="U1489" s="2273" t="s">
        <v>676</v>
      </c>
      <c r="V1489" s="2273" t="s">
        <v>676</v>
      </c>
      <c r="W1489" s="2273" t="s">
        <v>676</v>
      </c>
    </row>
    <row r="1490" spans="4:23" ht="30">
      <c r="D1490" s="2359"/>
      <c r="E1490" s="2362"/>
      <c r="F1490" s="2436" t="s">
        <v>82</v>
      </c>
      <c r="G1490" s="2437"/>
      <c r="H1490" s="2338"/>
      <c r="I1490" s="2338"/>
      <c r="J1490" s="2338"/>
      <c r="K1490" s="2338"/>
      <c r="L1490" s="2365"/>
      <c r="M1490" s="2365"/>
      <c r="N1490" s="2365"/>
      <c r="O1490" s="2338"/>
      <c r="P1490" s="2338"/>
      <c r="Q1490" s="2365">
        <f>SUM(Q1475:Q1489)</f>
        <v>395000</v>
      </c>
      <c r="R1490" s="2365"/>
      <c r="S1490" s="2365">
        <f>SUM(S1475:S1489)</f>
        <v>395000</v>
      </c>
      <c r="T1490" s="2337"/>
      <c r="U1490" s="2337"/>
      <c r="V1490" s="2337"/>
      <c r="W1490" s="2342"/>
    </row>
    <row r="1491" spans="4:23" ht="20.25">
      <c r="D1491" s="2326"/>
      <c r="E1491" s="2324"/>
      <c r="F1491" s="2325"/>
      <c r="G1491" s="2324"/>
      <c r="H1491" s="2324"/>
      <c r="I1491" s="2325"/>
      <c r="J1491" s="2324"/>
      <c r="K1491" s="2324"/>
      <c r="L1491" s="2324"/>
      <c r="M1491" s="2324"/>
      <c r="N1491" s="2326"/>
      <c r="O1491" s="2326"/>
      <c r="P1491" s="2326"/>
      <c r="Q1491" s="2326"/>
      <c r="R1491" s="2284" t="s">
        <v>2789</v>
      </c>
      <c r="S1491" s="2326"/>
      <c r="T1491" s="2326"/>
      <c r="U1491" s="2326"/>
      <c r="V1491" s="2326"/>
      <c r="W1491" s="2326"/>
    </row>
    <row r="1492" spans="4:23" ht="20.25">
      <c r="D1492" s="2326"/>
      <c r="E1492" s="2326"/>
      <c r="F1492" s="2326"/>
      <c r="G1492" s="2326"/>
      <c r="H1492" s="2326"/>
      <c r="I1492" s="2326"/>
      <c r="J1492" s="2326"/>
      <c r="K1492" s="2326"/>
      <c r="L1492" s="2326"/>
      <c r="M1492" s="2326"/>
      <c r="N1492" s="2326"/>
      <c r="O1492" s="2326"/>
      <c r="P1492" s="2326"/>
      <c r="Q1492" s="2326"/>
      <c r="R1492" s="2284" t="s">
        <v>2790</v>
      </c>
      <c r="S1492" s="2326"/>
      <c r="T1492" s="2326"/>
      <c r="U1492" s="2326"/>
      <c r="V1492" s="2326"/>
      <c r="W1492" s="2326"/>
    </row>
    <row r="1493" spans="4:23" ht="20.25">
      <c r="D1493" s="2911" t="s">
        <v>2749</v>
      </c>
      <c r="E1493" s="2911"/>
      <c r="F1493" s="2911"/>
      <c r="G1493" s="2911"/>
      <c r="H1493" s="2911"/>
      <c r="I1493" s="2911"/>
      <c r="J1493" s="2911"/>
      <c r="K1493" s="1586"/>
      <c r="L1493" s="1586"/>
      <c r="M1493" s="1586"/>
      <c r="N1493" s="1586"/>
      <c r="O1493" s="1586"/>
      <c r="P1493" s="1586"/>
      <c r="Q1493" s="2314"/>
      <c r="R1493" s="2314"/>
      <c r="S1493" s="2314"/>
      <c r="T1493" s="1586"/>
      <c r="U1493" s="1586"/>
      <c r="V1493" s="1586"/>
      <c r="W1493" s="1586"/>
    </row>
    <row r="1494" spans="4:23" ht="15">
      <c r="D1494" s="1586"/>
      <c r="E1494" s="1586"/>
      <c r="F1494" s="1586"/>
      <c r="G1494" s="1586"/>
      <c r="H1494" s="1586"/>
      <c r="I1494" s="1586"/>
      <c r="J1494" s="1586"/>
      <c r="K1494" s="1586"/>
      <c r="L1494" s="1586"/>
      <c r="M1494" s="1586"/>
      <c r="N1494" s="1586"/>
      <c r="O1494" s="1586"/>
      <c r="P1494" s="1586"/>
      <c r="Q1494" s="2314"/>
      <c r="R1494" s="2314"/>
      <c r="S1494" s="2314"/>
      <c r="T1494" s="1586"/>
      <c r="U1494" s="1586"/>
      <c r="V1494" s="1586"/>
      <c r="W1494" s="1586"/>
    </row>
    <row r="1495" spans="4:23" ht="15.75">
      <c r="D1495" s="2912" t="s">
        <v>653</v>
      </c>
      <c r="E1495" s="2912"/>
      <c r="F1495" s="2912"/>
      <c r="G1495" s="1586"/>
      <c r="H1495" s="2315">
        <v>2020</v>
      </c>
      <c r="I1495" s="1586"/>
      <c r="J1495" s="1586"/>
      <c r="K1495" s="1586"/>
      <c r="L1495" s="1586"/>
      <c r="M1495" s="1586"/>
      <c r="N1495" s="1586"/>
      <c r="O1495" s="1586"/>
      <c r="P1495" s="1586"/>
      <c r="Q1495" s="2314"/>
      <c r="R1495" s="2314"/>
      <c r="S1495" s="2314"/>
      <c r="T1495" s="1586"/>
      <c r="U1495" s="1586"/>
      <c r="V1495" s="1586"/>
      <c r="W1495" s="1586"/>
    </row>
    <row r="1496" spans="4:23" ht="15">
      <c r="D1496" s="1586"/>
      <c r="E1496" s="1586"/>
      <c r="F1496" s="1586"/>
      <c r="G1496" s="1586"/>
      <c r="H1496" s="1586"/>
      <c r="I1496" s="1586"/>
      <c r="J1496" s="1586"/>
      <c r="K1496" s="1586"/>
      <c r="L1496" s="1586"/>
      <c r="M1496" s="1586"/>
      <c r="N1496" s="1586"/>
      <c r="O1496" s="1586"/>
      <c r="P1496" s="1586"/>
      <c r="Q1496" s="2314"/>
      <c r="R1496" s="2314"/>
      <c r="S1496" s="2314"/>
      <c r="T1496" s="1586"/>
      <c r="U1496" s="1586"/>
      <c r="V1496" s="1586"/>
      <c r="W1496" s="1586"/>
    </row>
    <row r="1497" spans="4:23" ht="15.75">
      <c r="D1497" s="2912" t="s">
        <v>655</v>
      </c>
      <c r="E1497" s="2912"/>
      <c r="F1497" s="2912"/>
      <c r="G1497" s="1586"/>
      <c r="H1497" s="2913" t="s">
        <v>3186</v>
      </c>
      <c r="I1497" s="2914"/>
      <c r="J1497" s="2914"/>
      <c r="K1497" s="2914"/>
      <c r="L1497" s="2914"/>
      <c r="M1497" s="1586"/>
      <c r="N1497" s="1586"/>
      <c r="O1497" s="1586"/>
      <c r="P1497" s="1586"/>
      <c r="Q1497" s="2314"/>
      <c r="R1497" s="2314"/>
      <c r="S1497" s="2314"/>
      <c r="T1497" s="1586"/>
      <c r="U1497" s="1586"/>
      <c r="V1497" s="1586"/>
      <c r="W1497" s="1586"/>
    </row>
    <row r="1498" spans="4:23" ht="15">
      <c r="D1498" s="1586"/>
      <c r="E1498" s="1586"/>
      <c r="F1498" s="1586"/>
      <c r="G1498" s="1586"/>
      <c r="H1498" s="1586"/>
      <c r="I1498" s="1586"/>
      <c r="J1498" s="1586"/>
      <c r="K1498" s="1586"/>
      <c r="L1498" s="1586"/>
      <c r="M1498" s="1586"/>
      <c r="N1498" s="1586"/>
      <c r="O1498" s="1586"/>
      <c r="P1498" s="1586"/>
      <c r="Q1498" s="2314"/>
      <c r="R1498" s="2314"/>
      <c r="S1498" s="2314"/>
      <c r="T1498" s="1586"/>
      <c r="U1498" s="1586"/>
      <c r="V1498" s="1586"/>
      <c r="W1498" s="1586"/>
    </row>
    <row r="1499" spans="4:23" ht="78.75">
      <c r="D1499" s="2316"/>
      <c r="E1499" s="2266" t="s">
        <v>657</v>
      </c>
      <c r="F1499" s="2893" t="s">
        <v>587</v>
      </c>
      <c r="G1499" s="2909"/>
      <c r="H1499" s="2909"/>
      <c r="I1499" s="2910"/>
      <c r="J1499" s="2893" t="s">
        <v>2751</v>
      </c>
      <c r="K1499" s="2910"/>
      <c r="L1499" s="2893" t="s">
        <v>2752</v>
      </c>
      <c r="M1499" s="2910"/>
      <c r="N1499" s="2266" t="s">
        <v>2753</v>
      </c>
      <c r="O1499" s="2266" t="s">
        <v>2754</v>
      </c>
      <c r="P1499" s="2266" t="s">
        <v>2755</v>
      </c>
      <c r="Q1499" s="2267" t="s">
        <v>2756</v>
      </c>
      <c r="R1499" s="2267" t="s">
        <v>2757</v>
      </c>
      <c r="S1499" s="2267" t="s">
        <v>2758</v>
      </c>
      <c r="T1499" s="2266" t="s">
        <v>623</v>
      </c>
      <c r="U1499" s="2266" t="s">
        <v>2759</v>
      </c>
      <c r="V1499" s="2266" t="s">
        <v>2760</v>
      </c>
      <c r="W1499" s="2266" t="s">
        <v>2761</v>
      </c>
    </row>
    <row r="1500" spans="4:23" ht="45">
      <c r="D1500" s="2316"/>
      <c r="E1500" s="2268">
        <v>1</v>
      </c>
      <c r="F1500" s="2882" t="s">
        <v>3187</v>
      </c>
      <c r="G1500" s="2905"/>
      <c r="H1500" s="2905"/>
      <c r="I1500" s="2906"/>
      <c r="J1500" s="2882" t="s">
        <v>3188</v>
      </c>
      <c r="K1500" s="2906"/>
      <c r="L1500" s="2882" t="s">
        <v>2762</v>
      </c>
      <c r="M1500" s="2906"/>
      <c r="N1500" s="2268" t="s">
        <v>2763</v>
      </c>
      <c r="O1500" s="2268" t="s">
        <v>2775</v>
      </c>
      <c r="P1500" s="2268" t="s">
        <v>2765</v>
      </c>
      <c r="Q1500" s="2269">
        <v>60000</v>
      </c>
      <c r="R1500" s="2270" t="s">
        <v>2766</v>
      </c>
      <c r="S1500" s="2270">
        <v>60000</v>
      </c>
      <c r="T1500" s="2268"/>
      <c r="U1500" s="2268" t="s">
        <v>2767</v>
      </c>
      <c r="V1500" s="2268" t="s">
        <v>2768</v>
      </c>
      <c r="W1500" s="2268"/>
    </row>
    <row r="1501" spans="4:23" ht="30">
      <c r="D1501" s="2316"/>
      <c r="E1501" s="2271" t="s">
        <v>676</v>
      </c>
      <c r="F1501" s="2888" t="s">
        <v>676</v>
      </c>
      <c r="G1501" s="2907"/>
      <c r="H1501" s="2907"/>
      <c r="I1501" s="2908"/>
      <c r="J1501" s="2888" t="s">
        <v>676</v>
      </c>
      <c r="K1501" s="2908"/>
      <c r="L1501" s="2888" t="s">
        <v>676</v>
      </c>
      <c r="M1501" s="2908"/>
      <c r="N1501" s="2271" t="s">
        <v>676</v>
      </c>
      <c r="O1501" s="2271" t="s">
        <v>676</v>
      </c>
      <c r="P1501" s="2271" t="s">
        <v>676</v>
      </c>
      <c r="Q1501" s="2272" t="s">
        <v>676</v>
      </c>
      <c r="R1501" s="2270" t="s">
        <v>2769</v>
      </c>
      <c r="S1501" s="2270">
        <v>0</v>
      </c>
      <c r="T1501" s="2271" t="s">
        <v>676</v>
      </c>
      <c r="U1501" s="2271" t="s">
        <v>676</v>
      </c>
      <c r="V1501" s="2271" t="s">
        <v>676</v>
      </c>
      <c r="W1501" s="2271" t="s">
        <v>676</v>
      </c>
    </row>
    <row r="1502" spans="4:23" ht="30">
      <c r="D1502" s="2316"/>
      <c r="E1502" s="2271" t="s">
        <v>676</v>
      </c>
      <c r="F1502" s="2891" t="s">
        <v>676</v>
      </c>
      <c r="G1502" s="2907"/>
      <c r="H1502" s="2907"/>
      <c r="I1502" s="2908"/>
      <c r="J1502" s="2892" t="s">
        <v>676</v>
      </c>
      <c r="K1502" s="2907"/>
      <c r="L1502" s="2888" t="s">
        <v>676</v>
      </c>
      <c r="M1502" s="2908"/>
      <c r="N1502" s="2271" t="s">
        <v>676</v>
      </c>
      <c r="O1502" s="2271" t="s">
        <v>676</v>
      </c>
      <c r="P1502" s="2271" t="s">
        <v>676</v>
      </c>
      <c r="Q1502" s="2272" t="s">
        <v>676</v>
      </c>
      <c r="R1502" s="2270" t="s">
        <v>2770</v>
      </c>
      <c r="S1502" s="2270">
        <v>0</v>
      </c>
      <c r="T1502" s="2271" t="s">
        <v>676</v>
      </c>
      <c r="U1502" s="2271" t="s">
        <v>676</v>
      </c>
      <c r="V1502" s="2271" t="s">
        <v>676</v>
      </c>
      <c r="W1502" s="2271" t="s">
        <v>676</v>
      </c>
    </row>
    <row r="1503" spans="4:23" ht="45">
      <c r="D1503" s="2316"/>
      <c r="E1503" s="2268">
        <v>2</v>
      </c>
      <c r="F1503" s="2882" t="s">
        <v>3189</v>
      </c>
      <c r="G1503" s="2905"/>
      <c r="H1503" s="2905"/>
      <c r="I1503" s="2906"/>
      <c r="J1503" s="2882" t="s">
        <v>985</v>
      </c>
      <c r="K1503" s="2906"/>
      <c r="L1503" s="2882" t="s">
        <v>2762</v>
      </c>
      <c r="M1503" s="2906"/>
      <c r="N1503" s="2268" t="s">
        <v>2763</v>
      </c>
      <c r="O1503" s="2268" t="s">
        <v>2764</v>
      </c>
      <c r="P1503" s="2268" t="s">
        <v>2765</v>
      </c>
      <c r="Q1503" s="2269">
        <v>60000</v>
      </c>
      <c r="R1503" s="2270" t="s">
        <v>2766</v>
      </c>
      <c r="S1503" s="2270">
        <v>60000</v>
      </c>
      <c r="T1503" s="2268"/>
      <c r="U1503" s="2268" t="s">
        <v>2767</v>
      </c>
      <c r="V1503" s="2268" t="s">
        <v>2768</v>
      </c>
      <c r="W1503" s="2268"/>
    </row>
    <row r="1504" spans="4:23" ht="30">
      <c r="D1504" s="2316"/>
      <c r="E1504" s="2271" t="s">
        <v>676</v>
      </c>
      <c r="F1504" s="2888" t="s">
        <v>676</v>
      </c>
      <c r="G1504" s="2907"/>
      <c r="H1504" s="2907"/>
      <c r="I1504" s="2908"/>
      <c r="J1504" s="2888" t="s">
        <v>676</v>
      </c>
      <c r="K1504" s="2908"/>
      <c r="L1504" s="2888" t="s">
        <v>676</v>
      </c>
      <c r="M1504" s="2908"/>
      <c r="N1504" s="2271" t="s">
        <v>676</v>
      </c>
      <c r="O1504" s="2271" t="s">
        <v>676</v>
      </c>
      <c r="P1504" s="2271" t="s">
        <v>676</v>
      </c>
      <c r="Q1504" s="2272" t="s">
        <v>676</v>
      </c>
      <c r="R1504" s="2270" t="s">
        <v>2769</v>
      </c>
      <c r="S1504" s="2270">
        <v>0</v>
      </c>
      <c r="T1504" s="2271" t="s">
        <v>676</v>
      </c>
      <c r="U1504" s="2271" t="s">
        <v>676</v>
      </c>
      <c r="V1504" s="2271" t="s">
        <v>676</v>
      </c>
      <c r="W1504" s="2271" t="s">
        <v>676</v>
      </c>
    </row>
    <row r="1505" spans="4:23" ht="30">
      <c r="D1505" s="2316"/>
      <c r="E1505" s="2271" t="s">
        <v>676</v>
      </c>
      <c r="F1505" s="2891" t="s">
        <v>676</v>
      </c>
      <c r="G1505" s="2907"/>
      <c r="H1505" s="2907"/>
      <c r="I1505" s="2908"/>
      <c r="J1505" s="2892" t="s">
        <v>676</v>
      </c>
      <c r="K1505" s="2907"/>
      <c r="L1505" s="2888" t="s">
        <v>676</v>
      </c>
      <c r="M1505" s="2908"/>
      <c r="N1505" s="2271" t="s">
        <v>676</v>
      </c>
      <c r="O1505" s="2271" t="s">
        <v>676</v>
      </c>
      <c r="P1505" s="2271" t="s">
        <v>676</v>
      </c>
      <c r="Q1505" s="2272" t="s">
        <v>676</v>
      </c>
      <c r="R1505" s="2270" t="s">
        <v>2770</v>
      </c>
      <c r="S1505" s="2270">
        <v>0</v>
      </c>
      <c r="T1505" s="2271" t="s">
        <v>676</v>
      </c>
      <c r="U1505" s="2271" t="s">
        <v>676</v>
      </c>
      <c r="V1505" s="2271" t="s">
        <v>676</v>
      </c>
      <c r="W1505" s="2271" t="s">
        <v>676</v>
      </c>
    </row>
    <row r="1506" spans="4:23" ht="45">
      <c r="D1506" s="2316"/>
      <c r="E1506" s="2268">
        <v>3</v>
      </c>
      <c r="F1506" s="2882" t="s">
        <v>3190</v>
      </c>
      <c r="G1506" s="2905"/>
      <c r="H1506" s="2905"/>
      <c r="I1506" s="2906"/>
      <c r="J1506" s="2882" t="s">
        <v>3191</v>
      </c>
      <c r="K1506" s="2906"/>
      <c r="L1506" s="2882" t="s">
        <v>2762</v>
      </c>
      <c r="M1506" s="2906"/>
      <c r="N1506" s="2268" t="s">
        <v>2763</v>
      </c>
      <c r="O1506" s="2268" t="s">
        <v>2764</v>
      </c>
      <c r="P1506" s="2268" t="s">
        <v>2765</v>
      </c>
      <c r="Q1506" s="2269">
        <v>100000</v>
      </c>
      <c r="R1506" s="2270" t="s">
        <v>2766</v>
      </c>
      <c r="S1506" s="2270">
        <v>100000</v>
      </c>
      <c r="T1506" s="2268"/>
      <c r="U1506" s="2268" t="s">
        <v>2767</v>
      </c>
      <c r="V1506" s="2268" t="s">
        <v>2768</v>
      </c>
      <c r="W1506" s="2268"/>
    </row>
    <row r="1507" spans="4:23" ht="30">
      <c r="D1507" s="2316"/>
      <c r="E1507" s="2271" t="s">
        <v>676</v>
      </c>
      <c r="F1507" s="2888" t="s">
        <v>676</v>
      </c>
      <c r="G1507" s="2907"/>
      <c r="H1507" s="2907"/>
      <c r="I1507" s="2908"/>
      <c r="J1507" s="2888" t="s">
        <v>676</v>
      </c>
      <c r="K1507" s="2908"/>
      <c r="L1507" s="2888" t="s">
        <v>676</v>
      </c>
      <c r="M1507" s="2908"/>
      <c r="N1507" s="2271" t="s">
        <v>676</v>
      </c>
      <c r="O1507" s="2271" t="s">
        <v>676</v>
      </c>
      <c r="P1507" s="2271" t="s">
        <v>676</v>
      </c>
      <c r="Q1507" s="2272" t="s">
        <v>676</v>
      </c>
      <c r="R1507" s="2270" t="s">
        <v>2769</v>
      </c>
      <c r="S1507" s="2270">
        <v>0</v>
      </c>
      <c r="T1507" s="2271" t="s">
        <v>676</v>
      </c>
      <c r="U1507" s="2271" t="s">
        <v>676</v>
      </c>
      <c r="V1507" s="2271" t="s">
        <v>676</v>
      </c>
      <c r="W1507" s="2271" t="s">
        <v>676</v>
      </c>
    </row>
    <row r="1508" spans="4:23" ht="30">
      <c r="D1508" s="2316"/>
      <c r="E1508" s="2271" t="s">
        <v>676</v>
      </c>
      <c r="F1508" s="2891" t="s">
        <v>676</v>
      </c>
      <c r="G1508" s="2907"/>
      <c r="H1508" s="2907"/>
      <c r="I1508" s="2908"/>
      <c r="J1508" s="2892" t="s">
        <v>676</v>
      </c>
      <c r="K1508" s="2907"/>
      <c r="L1508" s="2888" t="s">
        <v>676</v>
      </c>
      <c r="M1508" s="2908"/>
      <c r="N1508" s="2271" t="s">
        <v>676</v>
      </c>
      <c r="O1508" s="2271" t="s">
        <v>676</v>
      </c>
      <c r="P1508" s="2271" t="s">
        <v>676</v>
      </c>
      <c r="Q1508" s="2272" t="s">
        <v>676</v>
      </c>
      <c r="R1508" s="2270" t="s">
        <v>2770</v>
      </c>
      <c r="S1508" s="2270">
        <v>0</v>
      </c>
      <c r="T1508" s="2271" t="s">
        <v>676</v>
      </c>
      <c r="U1508" s="2271" t="s">
        <v>676</v>
      </c>
      <c r="V1508" s="2271" t="s">
        <v>676</v>
      </c>
      <c r="W1508" s="2271" t="s">
        <v>676</v>
      </c>
    </row>
    <row r="1509" spans="4:23" ht="45">
      <c r="D1509" s="2316"/>
      <c r="E1509" s="2268">
        <v>4</v>
      </c>
      <c r="F1509" s="2882" t="s">
        <v>3192</v>
      </c>
      <c r="G1509" s="2905"/>
      <c r="H1509" s="2905"/>
      <c r="I1509" s="2906"/>
      <c r="J1509" s="2882" t="s">
        <v>1365</v>
      </c>
      <c r="K1509" s="2906"/>
      <c r="L1509" s="2882" t="s">
        <v>2762</v>
      </c>
      <c r="M1509" s="2906"/>
      <c r="N1509" s="2268" t="s">
        <v>2763</v>
      </c>
      <c r="O1509" s="2268" t="s">
        <v>2775</v>
      </c>
      <c r="P1509" s="2268" t="s">
        <v>2765</v>
      </c>
      <c r="Q1509" s="2269">
        <v>100000</v>
      </c>
      <c r="R1509" s="2270" t="s">
        <v>2766</v>
      </c>
      <c r="S1509" s="2270">
        <v>100000</v>
      </c>
      <c r="T1509" s="2268"/>
      <c r="U1509" s="2268" t="s">
        <v>2767</v>
      </c>
      <c r="V1509" s="2268" t="s">
        <v>2768</v>
      </c>
      <c r="W1509" s="2268"/>
    </row>
    <row r="1510" spans="4:23" ht="30">
      <c r="D1510" s="2316"/>
      <c r="E1510" s="2271" t="s">
        <v>676</v>
      </c>
      <c r="F1510" s="2888" t="s">
        <v>676</v>
      </c>
      <c r="G1510" s="2907"/>
      <c r="H1510" s="2907"/>
      <c r="I1510" s="2908"/>
      <c r="J1510" s="2888" t="s">
        <v>676</v>
      </c>
      <c r="K1510" s="2908"/>
      <c r="L1510" s="2888" t="s">
        <v>676</v>
      </c>
      <c r="M1510" s="2908"/>
      <c r="N1510" s="2271" t="s">
        <v>676</v>
      </c>
      <c r="O1510" s="2271" t="s">
        <v>676</v>
      </c>
      <c r="P1510" s="2271" t="s">
        <v>676</v>
      </c>
      <c r="Q1510" s="2272" t="s">
        <v>676</v>
      </c>
      <c r="R1510" s="2270" t="s">
        <v>2769</v>
      </c>
      <c r="S1510" s="2270">
        <v>0</v>
      </c>
      <c r="T1510" s="2271" t="s">
        <v>676</v>
      </c>
      <c r="U1510" s="2271" t="s">
        <v>676</v>
      </c>
      <c r="V1510" s="2271" t="s">
        <v>676</v>
      </c>
      <c r="W1510" s="2271" t="s">
        <v>676</v>
      </c>
    </row>
    <row r="1511" spans="4:23" ht="30">
      <c r="D1511" s="2316"/>
      <c r="E1511" s="2271" t="s">
        <v>676</v>
      </c>
      <c r="F1511" s="2891" t="s">
        <v>676</v>
      </c>
      <c r="G1511" s="2907"/>
      <c r="H1511" s="2907"/>
      <c r="I1511" s="2908"/>
      <c r="J1511" s="2892" t="s">
        <v>676</v>
      </c>
      <c r="K1511" s="2907"/>
      <c r="L1511" s="2888" t="s">
        <v>676</v>
      </c>
      <c r="M1511" s="2908"/>
      <c r="N1511" s="2271" t="s">
        <v>676</v>
      </c>
      <c r="O1511" s="2271" t="s">
        <v>676</v>
      </c>
      <c r="P1511" s="2271" t="s">
        <v>676</v>
      </c>
      <c r="Q1511" s="2272" t="s">
        <v>676</v>
      </c>
      <c r="R1511" s="2270" t="s">
        <v>2770</v>
      </c>
      <c r="S1511" s="2270">
        <v>0</v>
      </c>
      <c r="T1511" s="2271" t="s">
        <v>676</v>
      </c>
      <c r="U1511" s="2271" t="s">
        <v>676</v>
      </c>
      <c r="V1511" s="2271" t="s">
        <v>676</v>
      </c>
      <c r="W1511" s="2271" t="s">
        <v>676</v>
      </c>
    </row>
    <row r="1512" spans="4:23" ht="45">
      <c r="D1512" s="2316"/>
      <c r="E1512" s="2268">
        <v>5</v>
      </c>
      <c r="F1512" s="2882" t="s">
        <v>172</v>
      </c>
      <c r="G1512" s="2905"/>
      <c r="H1512" s="2905"/>
      <c r="I1512" s="2906"/>
      <c r="J1512" s="2882" t="s">
        <v>3193</v>
      </c>
      <c r="K1512" s="2906"/>
      <c r="L1512" s="2882" t="s">
        <v>2762</v>
      </c>
      <c r="M1512" s="2906"/>
      <c r="N1512" s="2268" t="s">
        <v>2763</v>
      </c>
      <c r="O1512" s="2268" t="s">
        <v>2775</v>
      </c>
      <c r="P1512" s="2268" t="s">
        <v>2765</v>
      </c>
      <c r="Q1512" s="2269">
        <v>100000</v>
      </c>
      <c r="R1512" s="2270" t="s">
        <v>2766</v>
      </c>
      <c r="S1512" s="2270">
        <v>100000</v>
      </c>
      <c r="T1512" s="2268"/>
      <c r="U1512" s="2268" t="s">
        <v>2767</v>
      </c>
      <c r="V1512" s="2268" t="s">
        <v>2768</v>
      </c>
      <c r="W1512" s="2268"/>
    </row>
    <row r="1513" spans="4:23" ht="30">
      <c r="D1513" s="2316"/>
      <c r="E1513" s="2271" t="s">
        <v>676</v>
      </c>
      <c r="F1513" s="2888" t="s">
        <v>676</v>
      </c>
      <c r="G1513" s="2907"/>
      <c r="H1513" s="2907"/>
      <c r="I1513" s="2908"/>
      <c r="J1513" s="2888" t="s">
        <v>676</v>
      </c>
      <c r="K1513" s="2908"/>
      <c r="L1513" s="2888" t="s">
        <v>676</v>
      </c>
      <c r="M1513" s="2908"/>
      <c r="N1513" s="2271" t="s">
        <v>676</v>
      </c>
      <c r="O1513" s="2271" t="s">
        <v>676</v>
      </c>
      <c r="P1513" s="2271" t="s">
        <v>676</v>
      </c>
      <c r="Q1513" s="2272" t="s">
        <v>676</v>
      </c>
      <c r="R1513" s="2270" t="s">
        <v>2769</v>
      </c>
      <c r="S1513" s="2270">
        <v>0</v>
      </c>
      <c r="T1513" s="2271" t="s">
        <v>676</v>
      </c>
      <c r="U1513" s="2271" t="s">
        <v>676</v>
      </c>
      <c r="V1513" s="2271" t="s">
        <v>676</v>
      </c>
      <c r="W1513" s="2271" t="s">
        <v>676</v>
      </c>
    </row>
    <row r="1514" spans="4:23" ht="30">
      <c r="D1514" s="2316"/>
      <c r="E1514" s="2271" t="s">
        <v>676</v>
      </c>
      <c r="F1514" s="2891" t="s">
        <v>676</v>
      </c>
      <c r="G1514" s="2907"/>
      <c r="H1514" s="2907"/>
      <c r="I1514" s="2908"/>
      <c r="J1514" s="2892" t="s">
        <v>676</v>
      </c>
      <c r="K1514" s="2907"/>
      <c r="L1514" s="2888" t="s">
        <v>676</v>
      </c>
      <c r="M1514" s="2908"/>
      <c r="N1514" s="2271" t="s">
        <v>676</v>
      </c>
      <c r="O1514" s="2271" t="s">
        <v>676</v>
      </c>
      <c r="P1514" s="2271" t="s">
        <v>676</v>
      </c>
      <c r="Q1514" s="2272" t="s">
        <v>676</v>
      </c>
      <c r="R1514" s="2270" t="s">
        <v>2770</v>
      </c>
      <c r="S1514" s="2270">
        <v>0</v>
      </c>
      <c r="T1514" s="2271" t="s">
        <v>676</v>
      </c>
      <c r="U1514" s="2271" t="s">
        <v>676</v>
      </c>
      <c r="V1514" s="2271" t="s">
        <v>676</v>
      </c>
      <c r="W1514" s="2271" t="s">
        <v>676</v>
      </c>
    </row>
    <row r="1515" spans="4:23" ht="45">
      <c r="D1515" s="2316"/>
      <c r="E1515" s="2268">
        <v>6</v>
      </c>
      <c r="F1515" s="2882" t="s">
        <v>3194</v>
      </c>
      <c r="G1515" s="2905"/>
      <c r="H1515" s="2905"/>
      <c r="I1515" s="2906"/>
      <c r="J1515" s="2882" t="s">
        <v>2092</v>
      </c>
      <c r="K1515" s="2906"/>
      <c r="L1515" s="2882" t="s">
        <v>2762</v>
      </c>
      <c r="M1515" s="2906"/>
      <c r="N1515" s="2268" t="s">
        <v>2763</v>
      </c>
      <c r="O1515" s="2268" t="s">
        <v>2775</v>
      </c>
      <c r="P1515" s="2268" t="s">
        <v>2765</v>
      </c>
      <c r="Q1515" s="2269">
        <v>40000</v>
      </c>
      <c r="R1515" s="2270" t="s">
        <v>2766</v>
      </c>
      <c r="S1515" s="2270">
        <v>40000</v>
      </c>
      <c r="T1515" s="2268"/>
      <c r="U1515" s="2268" t="s">
        <v>2767</v>
      </c>
      <c r="V1515" s="2268" t="s">
        <v>2768</v>
      </c>
      <c r="W1515" s="2268"/>
    </row>
    <row r="1516" spans="4:23" ht="30">
      <c r="D1516" s="2316"/>
      <c r="E1516" s="2271" t="s">
        <v>676</v>
      </c>
      <c r="F1516" s="2888" t="s">
        <v>676</v>
      </c>
      <c r="G1516" s="2907"/>
      <c r="H1516" s="2907"/>
      <c r="I1516" s="2908"/>
      <c r="J1516" s="2888" t="s">
        <v>676</v>
      </c>
      <c r="K1516" s="2908"/>
      <c r="L1516" s="2888" t="s">
        <v>676</v>
      </c>
      <c r="M1516" s="2908"/>
      <c r="N1516" s="2271" t="s">
        <v>676</v>
      </c>
      <c r="O1516" s="2271" t="s">
        <v>676</v>
      </c>
      <c r="P1516" s="2271" t="s">
        <v>676</v>
      </c>
      <c r="Q1516" s="2272" t="s">
        <v>676</v>
      </c>
      <c r="R1516" s="2270" t="s">
        <v>2769</v>
      </c>
      <c r="S1516" s="2270">
        <v>0</v>
      </c>
      <c r="T1516" s="2271" t="s">
        <v>676</v>
      </c>
      <c r="U1516" s="2271" t="s">
        <v>676</v>
      </c>
      <c r="V1516" s="2271" t="s">
        <v>676</v>
      </c>
      <c r="W1516" s="2271" t="s">
        <v>676</v>
      </c>
    </row>
    <row r="1517" spans="4:23" ht="30">
      <c r="D1517" s="2316"/>
      <c r="E1517" s="2273" t="s">
        <v>676</v>
      </c>
      <c r="F1517" s="2896" t="s">
        <v>676</v>
      </c>
      <c r="G1517" s="2897"/>
      <c r="H1517" s="2897"/>
      <c r="I1517" s="2898"/>
      <c r="J1517" s="2899" t="s">
        <v>676</v>
      </c>
      <c r="K1517" s="2897"/>
      <c r="L1517" s="2900" t="s">
        <v>676</v>
      </c>
      <c r="M1517" s="2898"/>
      <c r="N1517" s="2273" t="s">
        <v>676</v>
      </c>
      <c r="O1517" s="2273" t="s">
        <v>676</v>
      </c>
      <c r="P1517" s="2273" t="s">
        <v>676</v>
      </c>
      <c r="Q1517" s="2274" t="s">
        <v>676</v>
      </c>
      <c r="R1517" s="2270" t="s">
        <v>2770</v>
      </c>
      <c r="S1517" s="2270">
        <v>0</v>
      </c>
      <c r="T1517" s="2273" t="s">
        <v>676</v>
      </c>
      <c r="U1517" s="2273" t="s">
        <v>676</v>
      </c>
      <c r="V1517" s="2273" t="s">
        <v>676</v>
      </c>
      <c r="W1517" s="2273" t="s">
        <v>676</v>
      </c>
    </row>
    <row r="1518" spans="4:23" ht="30">
      <c r="D1518" s="1586"/>
      <c r="E1518" s="2429"/>
      <c r="F1518" s="2430" t="s">
        <v>82</v>
      </c>
      <c r="G1518" s="2431"/>
      <c r="H1518" s="2431"/>
      <c r="I1518" s="2431"/>
      <c r="J1518" s="2430"/>
      <c r="K1518" s="2431"/>
      <c r="L1518" s="2430"/>
      <c r="M1518" s="2431"/>
      <c r="N1518" s="2430"/>
      <c r="O1518" s="2430"/>
      <c r="P1518" s="2430"/>
      <c r="Q1518" s="2432">
        <f>SUM(Q1500:Q1517)</f>
        <v>460000</v>
      </c>
      <c r="R1518" s="2432"/>
      <c r="S1518" s="2432">
        <f>SUM(S1500:S1517)</f>
        <v>460000</v>
      </c>
      <c r="T1518" s="2430"/>
      <c r="U1518" s="2430"/>
      <c r="V1518" s="2430"/>
      <c r="W1518" s="2433"/>
    </row>
    <row r="1519" spans="4:23" ht="20.25">
      <c r="D1519" s="2326"/>
      <c r="E1519" s="2324"/>
      <c r="F1519" s="2325"/>
      <c r="G1519" s="2324"/>
      <c r="H1519" s="2324"/>
      <c r="I1519" s="2325"/>
      <c r="J1519" s="2324"/>
      <c r="K1519" s="2324"/>
      <c r="L1519" s="2324"/>
      <c r="M1519" s="2324"/>
      <c r="N1519" s="2326"/>
      <c r="O1519" s="2326"/>
      <c r="P1519" s="2326"/>
      <c r="Q1519" s="2326"/>
      <c r="R1519" s="2284" t="s">
        <v>2789</v>
      </c>
      <c r="S1519" s="2326"/>
      <c r="T1519" s="2326"/>
      <c r="U1519" s="2326"/>
      <c r="V1519" s="2326"/>
      <c r="W1519" s="2326"/>
    </row>
    <row r="1520" spans="4:23" ht="20.25">
      <c r="D1520" s="2326"/>
      <c r="E1520" s="2326"/>
      <c r="F1520" s="2326"/>
      <c r="G1520" s="2326"/>
      <c r="H1520" s="2326"/>
      <c r="I1520" s="2326"/>
      <c r="J1520" s="2326"/>
      <c r="K1520" s="2326"/>
      <c r="L1520" s="2326"/>
      <c r="M1520" s="2326"/>
      <c r="N1520" s="2326"/>
      <c r="O1520" s="2326"/>
      <c r="P1520" s="2326"/>
      <c r="Q1520" s="2326"/>
      <c r="R1520" s="2284" t="s">
        <v>2790</v>
      </c>
      <c r="S1520" s="2326"/>
      <c r="T1520" s="2326"/>
      <c r="U1520" s="2326"/>
      <c r="V1520" s="2326"/>
      <c r="W1520" s="2326"/>
    </row>
    <row r="1521" spans="4:23" ht="20.25">
      <c r="D1521" s="2911" t="s">
        <v>2749</v>
      </c>
      <c r="E1521" s="2911"/>
      <c r="F1521" s="2911"/>
      <c r="G1521" s="2911"/>
      <c r="H1521" s="2911"/>
      <c r="I1521" s="2911"/>
      <c r="J1521" s="2911"/>
      <c r="K1521" s="1586"/>
      <c r="L1521" s="1586"/>
      <c r="M1521" s="1586"/>
      <c r="N1521" s="1586"/>
      <c r="O1521" s="1586"/>
      <c r="P1521" s="1586"/>
      <c r="Q1521" s="2314"/>
      <c r="R1521" s="2314"/>
      <c r="S1521" s="2314"/>
      <c r="T1521" s="1586"/>
      <c r="U1521" s="1586"/>
      <c r="V1521" s="1586"/>
      <c r="W1521" s="1586"/>
    </row>
    <row r="1522" spans="4:23" ht="15">
      <c r="D1522" s="1586"/>
      <c r="E1522" s="1586"/>
      <c r="F1522" s="1586"/>
      <c r="G1522" s="1586"/>
      <c r="H1522" s="1586"/>
      <c r="I1522" s="1586"/>
      <c r="J1522" s="1586"/>
      <c r="K1522" s="1586"/>
      <c r="L1522" s="1586"/>
      <c r="M1522" s="1586"/>
      <c r="N1522" s="1586"/>
      <c r="O1522" s="1586"/>
      <c r="P1522" s="1586"/>
      <c r="Q1522" s="2314"/>
      <c r="R1522" s="2314"/>
      <c r="S1522" s="2314"/>
      <c r="T1522" s="1586"/>
      <c r="U1522" s="1586"/>
      <c r="V1522" s="1586"/>
      <c r="W1522" s="1586"/>
    </row>
    <row r="1523" spans="4:23" ht="15.75">
      <c r="D1523" s="2912" t="s">
        <v>653</v>
      </c>
      <c r="E1523" s="2912"/>
      <c r="F1523" s="2912"/>
      <c r="G1523" s="1586"/>
      <c r="H1523" s="2315">
        <v>2020</v>
      </c>
      <c r="I1523" s="1586"/>
      <c r="J1523" s="1586"/>
      <c r="K1523" s="1586"/>
      <c r="L1523" s="1586"/>
      <c r="M1523" s="1586"/>
      <c r="N1523" s="1586"/>
      <c r="O1523" s="1586"/>
      <c r="P1523" s="1586"/>
      <c r="Q1523" s="2314"/>
      <c r="R1523" s="2314"/>
      <c r="S1523" s="2314"/>
      <c r="T1523" s="1586"/>
      <c r="U1523" s="1586"/>
      <c r="V1523" s="1586"/>
      <c r="W1523" s="1586"/>
    </row>
    <row r="1524" spans="4:23" ht="15">
      <c r="D1524" s="1586"/>
      <c r="E1524" s="1586"/>
      <c r="F1524" s="1586"/>
      <c r="G1524" s="1586"/>
      <c r="H1524" s="1586"/>
      <c r="I1524" s="1586"/>
      <c r="J1524" s="1586"/>
      <c r="K1524" s="1586"/>
      <c r="L1524" s="1586"/>
      <c r="M1524" s="1586"/>
      <c r="N1524" s="1586"/>
      <c r="O1524" s="1586"/>
      <c r="P1524" s="1586"/>
      <c r="Q1524" s="2314"/>
      <c r="R1524" s="2314"/>
      <c r="S1524" s="2314"/>
      <c r="T1524" s="1586"/>
      <c r="U1524" s="1586"/>
      <c r="V1524" s="1586"/>
      <c r="W1524" s="1586"/>
    </row>
    <row r="1525" spans="4:23" ht="15.75">
      <c r="D1525" s="2912" t="s">
        <v>655</v>
      </c>
      <c r="E1525" s="2912"/>
      <c r="F1525" s="2912"/>
      <c r="G1525" s="1586"/>
      <c r="H1525" s="2913" t="s">
        <v>3195</v>
      </c>
      <c r="I1525" s="2914"/>
      <c r="J1525" s="2914"/>
      <c r="K1525" s="2914"/>
      <c r="L1525" s="2914"/>
      <c r="M1525" s="1586"/>
      <c r="N1525" s="1586"/>
      <c r="O1525" s="1586"/>
      <c r="P1525" s="1586"/>
      <c r="Q1525" s="2314"/>
      <c r="R1525" s="2314"/>
      <c r="S1525" s="2314"/>
      <c r="T1525" s="1586"/>
      <c r="U1525" s="1586"/>
      <c r="V1525" s="1586"/>
      <c r="W1525" s="1586"/>
    </row>
    <row r="1526" spans="4:23" ht="15">
      <c r="D1526" s="1586"/>
      <c r="E1526" s="1586"/>
      <c r="F1526" s="1586"/>
      <c r="G1526" s="1586"/>
      <c r="H1526" s="1586"/>
      <c r="I1526" s="1586"/>
      <c r="J1526" s="1586"/>
      <c r="K1526" s="1586"/>
      <c r="L1526" s="1586"/>
      <c r="M1526" s="1586"/>
      <c r="N1526" s="1586"/>
      <c r="O1526" s="1586"/>
      <c r="P1526" s="1586"/>
      <c r="Q1526" s="2314"/>
      <c r="R1526" s="2314"/>
      <c r="S1526" s="2314"/>
      <c r="T1526" s="1586"/>
      <c r="U1526" s="1586"/>
      <c r="V1526" s="1586"/>
      <c r="W1526" s="1586"/>
    </row>
    <row r="1527" spans="4:23" ht="78.75">
      <c r="D1527" s="2316"/>
      <c r="E1527" s="2266" t="s">
        <v>657</v>
      </c>
      <c r="F1527" s="2893" t="s">
        <v>587</v>
      </c>
      <c r="G1527" s="2909"/>
      <c r="H1527" s="2909"/>
      <c r="I1527" s="2910"/>
      <c r="J1527" s="2893" t="s">
        <v>2751</v>
      </c>
      <c r="K1527" s="2910"/>
      <c r="L1527" s="2893" t="s">
        <v>2752</v>
      </c>
      <c r="M1527" s="2910"/>
      <c r="N1527" s="2266" t="s">
        <v>2753</v>
      </c>
      <c r="O1527" s="2266" t="s">
        <v>2754</v>
      </c>
      <c r="P1527" s="2266" t="s">
        <v>2755</v>
      </c>
      <c r="Q1527" s="2267" t="s">
        <v>2756</v>
      </c>
      <c r="R1527" s="2267" t="s">
        <v>2757</v>
      </c>
      <c r="S1527" s="2267" t="s">
        <v>2758</v>
      </c>
      <c r="T1527" s="2266" t="s">
        <v>623</v>
      </c>
      <c r="U1527" s="2266" t="s">
        <v>2759</v>
      </c>
      <c r="V1527" s="2266" t="s">
        <v>2760</v>
      </c>
      <c r="W1527" s="2266" t="s">
        <v>2761</v>
      </c>
    </row>
    <row r="1528" spans="4:23" ht="45">
      <c r="D1528" s="2316"/>
      <c r="E1528" s="2268">
        <v>1</v>
      </c>
      <c r="F1528" s="2882" t="s">
        <v>172</v>
      </c>
      <c r="G1528" s="2905"/>
      <c r="H1528" s="2905"/>
      <c r="I1528" s="2906"/>
      <c r="J1528" s="2882" t="s">
        <v>1898</v>
      </c>
      <c r="K1528" s="2906"/>
      <c r="L1528" s="2882" t="s">
        <v>2762</v>
      </c>
      <c r="M1528" s="2906"/>
      <c r="N1528" s="2268" t="s">
        <v>2763</v>
      </c>
      <c r="O1528" s="2268" t="s">
        <v>2775</v>
      </c>
      <c r="P1528" s="2268" t="s">
        <v>2776</v>
      </c>
      <c r="Q1528" s="2269">
        <v>166667</v>
      </c>
      <c r="R1528" s="2270" t="s">
        <v>2766</v>
      </c>
      <c r="S1528" s="2270">
        <v>166667</v>
      </c>
      <c r="T1528" s="2268" t="s">
        <v>688</v>
      </c>
      <c r="U1528" s="2268" t="s">
        <v>2932</v>
      </c>
      <c r="V1528" s="2268" t="s">
        <v>2768</v>
      </c>
      <c r="W1528" s="2268"/>
    </row>
    <row r="1529" spans="4:23" ht="30">
      <c r="D1529" s="2316"/>
      <c r="E1529" s="2271" t="s">
        <v>676</v>
      </c>
      <c r="F1529" s="2888" t="s">
        <v>676</v>
      </c>
      <c r="G1529" s="2907"/>
      <c r="H1529" s="2907"/>
      <c r="I1529" s="2908"/>
      <c r="J1529" s="2888" t="s">
        <v>676</v>
      </c>
      <c r="K1529" s="2908"/>
      <c r="L1529" s="2888" t="s">
        <v>676</v>
      </c>
      <c r="M1529" s="2908"/>
      <c r="N1529" s="2271" t="s">
        <v>676</v>
      </c>
      <c r="O1529" s="2271" t="s">
        <v>676</v>
      </c>
      <c r="P1529" s="2271" t="s">
        <v>676</v>
      </c>
      <c r="Q1529" s="2272" t="s">
        <v>676</v>
      </c>
      <c r="R1529" s="2270" t="s">
        <v>2769</v>
      </c>
      <c r="S1529" s="2270">
        <v>0</v>
      </c>
      <c r="T1529" s="2271" t="s">
        <v>676</v>
      </c>
      <c r="U1529" s="2271" t="s">
        <v>676</v>
      </c>
      <c r="V1529" s="2271" t="s">
        <v>676</v>
      </c>
      <c r="W1529" s="2271" t="s">
        <v>676</v>
      </c>
    </row>
    <row r="1530" spans="4:23" ht="30">
      <c r="D1530" s="2316"/>
      <c r="E1530" s="2271" t="s">
        <v>676</v>
      </c>
      <c r="F1530" s="2891" t="s">
        <v>676</v>
      </c>
      <c r="G1530" s="2907"/>
      <c r="H1530" s="2907"/>
      <c r="I1530" s="2908"/>
      <c r="J1530" s="2892" t="s">
        <v>676</v>
      </c>
      <c r="K1530" s="2907"/>
      <c r="L1530" s="2888" t="s">
        <v>676</v>
      </c>
      <c r="M1530" s="2908"/>
      <c r="N1530" s="2271" t="s">
        <v>676</v>
      </c>
      <c r="O1530" s="2271" t="s">
        <v>676</v>
      </c>
      <c r="P1530" s="2271" t="s">
        <v>676</v>
      </c>
      <c r="Q1530" s="2272" t="s">
        <v>676</v>
      </c>
      <c r="R1530" s="2270" t="s">
        <v>2770</v>
      </c>
      <c r="S1530" s="2270">
        <v>0</v>
      </c>
      <c r="T1530" s="2271" t="s">
        <v>676</v>
      </c>
      <c r="U1530" s="2271" t="s">
        <v>676</v>
      </c>
      <c r="V1530" s="2271" t="s">
        <v>676</v>
      </c>
      <c r="W1530" s="2271" t="s">
        <v>676</v>
      </c>
    </row>
    <row r="1531" spans="4:23" ht="45">
      <c r="D1531" s="2316"/>
      <c r="E1531" s="2268">
        <v>2</v>
      </c>
      <c r="F1531" s="2882" t="s">
        <v>3196</v>
      </c>
      <c r="G1531" s="2905"/>
      <c r="H1531" s="2905"/>
      <c r="I1531" s="2906"/>
      <c r="J1531" s="2882" t="s">
        <v>2136</v>
      </c>
      <c r="K1531" s="2906"/>
      <c r="L1531" s="2882" t="s">
        <v>2762</v>
      </c>
      <c r="M1531" s="2906"/>
      <c r="N1531" s="2268" t="s">
        <v>2763</v>
      </c>
      <c r="O1531" s="2268" t="s">
        <v>2764</v>
      </c>
      <c r="P1531" s="2268" t="s">
        <v>2776</v>
      </c>
      <c r="Q1531" s="2269">
        <v>250000</v>
      </c>
      <c r="R1531" s="2270" t="s">
        <v>2766</v>
      </c>
      <c r="S1531" s="2270">
        <v>250000</v>
      </c>
      <c r="T1531" s="2268" t="s">
        <v>688</v>
      </c>
      <c r="U1531" s="2268" t="s">
        <v>2932</v>
      </c>
      <c r="V1531" s="2268" t="s">
        <v>2768</v>
      </c>
      <c r="W1531" s="2268"/>
    </row>
    <row r="1532" spans="4:23" ht="30">
      <c r="D1532" s="2316"/>
      <c r="E1532" s="2271" t="s">
        <v>676</v>
      </c>
      <c r="F1532" s="2888" t="s">
        <v>676</v>
      </c>
      <c r="G1532" s="2907"/>
      <c r="H1532" s="2907"/>
      <c r="I1532" s="2908"/>
      <c r="J1532" s="2888" t="s">
        <v>676</v>
      </c>
      <c r="K1532" s="2908"/>
      <c r="L1532" s="2888" t="s">
        <v>676</v>
      </c>
      <c r="M1532" s="2908"/>
      <c r="N1532" s="2271" t="s">
        <v>676</v>
      </c>
      <c r="O1532" s="2271" t="s">
        <v>676</v>
      </c>
      <c r="P1532" s="2271" t="s">
        <v>676</v>
      </c>
      <c r="Q1532" s="2272" t="s">
        <v>676</v>
      </c>
      <c r="R1532" s="2270" t="s">
        <v>2769</v>
      </c>
      <c r="S1532" s="2270">
        <v>0</v>
      </c>
      <c r="T1532" s="2271" t="s">
        <v>676</v>
      </c>
      <c r="U1532" s="2271" t="s">
        <v>676</v>
      </c>
      <c r="V1532" s="2271" t="s">
        <v>676</v>
      </c>
      <c r="W1532" s="2271" t="s">
        <v>676</v>
      </c>
    </row>
    <row r="1533" spans="4:23" ht="30">
      <c r="D1533" s="2316"/>
      <c r="E1533" s="2273" t="s">
        <v>676</v>
      </c>
      <c r="F1533" s="2896" t="s">
        <v>676</v>
      </c>
      <c r="G1533" s="2897"/>
      <c r="H1533" s="2897"/>
      <c r="I1533" s="2898"/>
      <c r="J1533" s="2899" t="s">
        <v>676</v>
      </c>
      <c r="K1533" s="2897"/>
      <c r="L1533" s="2900" t="s">
        <v>676</v>
      </c>
      <c r="M1533" s="2898"/>
      <c r="N1533" s="2273" t="s">
        <v>676</v>
      </c>
      <c r="O1533" s="2273" t="s">
        <v>676</v>
      </c>
      <c r="P1533" s="2273" t="s">
        <v>676</v>
      </c>
      <c r="Q1533" s="2274" t="s">
        <v>676</v>
      </c>
      <c r="R1533" s="2270" t="s">
        <v>2770</v>
      </c>
      <c r="S1533" s="2270">
        <v>0</v>
      </c>
      <c r="T1533" s="2273" t="s">
        <v>676</v>
      </c>
      <c r="U1533" s="2273" t="s">
        <v>676</v>
      </c>
      <c r="V1533" s="2273" t="s">
        <v>676</v>
      </c>
      <c r="W1533" s="2273" t="s">
        <v>676</v>
      </c>
    </row>
    <row r="1534" spans="4:23" ht="30">
      <c r="D1534" s="2359"/>
      <c r="E1534" s="2362"/>
      <c r="F1534" s="2436" t="s">
        <v>82</v>
      </c>
      <c r="G1534" s="2437"/>
      <c r="H1534" s="2338"/>
      <c r="I1534" s="2338"/>
      <c r="J1534" s="2338"/>
      <c r="K1534" s="2338"/>
      <c r="L1534" s="2474">
        <f>SUM(L1526:L1533)</f>
        <v>0</v>
      </c>
      <c r="M1534" s="2338"/>
      <c r="N1534" s="2474">
        <f>SUM(N1526:N1533)</f>
        <v>0</v>
      </c>
      <c r="O1534" s="2338"/>
      <c r="P1534" s="2338"/>
      <c r="Q1534" s="2365">
        <f>SUM(Q1528:Q1533)</f>
        <v>416667</v>
      </c>
      <c r="R1534" s="2365"/>
      <c r="S1534" s="2340">
        <f>SUM(S1528:S1533)</f>
        <v>416667</v>
      </c>
      <c r="T1534" s="2337"/>
      <c r="U1534" s="2337"/>
      <c r="V1534" s="2337"/>
      <c r="W1534" s="2342"/>
    </row>
    <row r="1535" spans="4:23" ht="20.25">
      <c r="D1535" s="2326"/>
      <c r="E1535" s="2324"/>
      <c r="F1535" s="2325"/>
      <c r="G1535" s="2324"/>
      <c r="H1535" s="2324"/>
      <c r="I1535" s="2325"/>
      <c r="J1535" s="2324"/>
      <c r="K1535" s="2324"/>
      <c r="L1535" s="2324"/>
      <c r="M1535" s="2324"/>
      <c r="N1535" s="2326"/>
      <c r="O1535" s="2326"/>
      <c r="P1535" s="2326"/>
      <c r="Q1535" s="2326"/>
      <c r="R1535" s="2284" t="s">
        <v>2789</v>
      </c>
      <c r="S1535" s="2326"/>
      <c r="T1535" s="2326"/>
      <c r="U1535" s="2326"/>
      <c r="V1535" s="2326"/>
      <c r="W1535" s="2326"/>
    </row>
    <row r="1536" spans="4:23" ht="20.25">
      <c r="D1536" s="2326"/>
      <c r="E1536" s="2326"/>
      <c r="F1536" s="2326"/>
      <c r="G1536" s="2326"/>
      <c r="H1536" s="2326"/>
      <c r="I1536" s="2326"/>
      <c r="J1536" s="2326"/>
      <c r="K1536" s="2326"/>
      <c r="L1536" s="2326"/>
      <c r="M1536" s="2326"/>
      <c r="N1536" s="2326"/>
      <c r="O1536" s="2326"/>
      <c r="P1536" s="2326"/>
      <c r="Q1536" s="2326"/>
      <c r="R1536" s="2284" t="s">
        <v>2790</v>
      </c>
      <c r="S1536" s="2326"/>
      <c r="T1536" s="2326"/>
      <c r="U1536" s="2326"/>
      <c r="V1536" s="2326"/>
      <c r="W1536" s="2326"/>
    </row>
    <row r="1538" spans="5:22" ht="15">
      <c r="E1538" s="2901" t="s">
        <v>2749</v>
      </c>
      <c r="F1538" s="2902"/>
      <c r="G1538" s="2902"/>
      <c r="H1538" s="2902"/>
      <c r="I1538" s="2902"/>
      <c r="J1538" s="2902"/>
      <c r="K1538" s="2902"/>
      <c r="L1538" s="2475"/>
      <c r="M1538" s="2475"/>
      <c r="N1538" s="2475"/>
      <c r="O1538" s="2475"/>
      <c r="P1538" s="2475"/>
      <c r="Q1538" s="2475"/>
      <c r="R1538" s="2476"/>
      <c r="S1538" s="2476"/>
      <c r="T1538" s="2476"/>
      <c r="U1538" s="2475"/>
      <c r="V1538" s="2475"/>
    </row>
    <row r="1539" spans="5:22" ht="15">
      <c r="E1539" s="2475"/>
      <c r="F1539" s="2475"/>
      <c r="G1539" s="2475"/>
      <c r="H1539" s="2475"/>
      <c r="I1539" s="2475"/>
      <c r="J1539" s="2475"/>
      <c r="K1539" s="2475"/>
      <c r="L1539" s="2475"/>
      <c r="M1539" s="2475"/>
      <c r="N1539" s="2475"/>
      <c r="O1539" s="2475"/>
      <c r="P1539" s="2475"/>
      <c r="Q1539" s="2475"/>
      <c r="R1539" s="2476"/>
      <c r="S1539" s="2476"/>
      <c r="T1539" s="2476"/>
      <c r="U1539" s="2475"/>
      <c r="V1539" s="2475"/>
    </row>
    <row r="1540" spans="5:22" ht="15">
      <c r="E1540" s="2903" t="s">
        <v>653</v>
      </c>
      <c r="F1540" s="2902"/>
      <c r="G1540" s="2902"/>
      <c r="H1540" s="2475"/>
      <c r="I1540" s="2477">
        <v>2020</v>
      </c>
      <c r="J1540" s="2475"/>
      <c r="K1540" s="2475"/>
      <c r="L1540" s="2475"/>
      <c r="M1540" s="2475"/>
      <c r="N1540" s="2475"/>
      <c r="O1540" s="2475"/>
      <c r="P1540" s="2475"/>
      <c r="Q1540" s="2475"/>
      <c r="R1540" s="2476"/>
      <c r="S1540" s="2476"/>
      <c r="T1540" s="2476"/>
      <c r="U1540" s="2475"/>
      <c r="V1540" s="2475"/>
    </row>
    <row r="1541" spans="5:22" ht="15">
      <c r="E1541" s="2475"/>
      <c r="F1541" s="2475"/>
      <c r="G1541" s="2475"/>
      <c r="H1541" s="2475"/>
      <c r="I1541" s="2475"/>
      <c r="J1541" s="2475"/>
      <c r="K1541" s="2475"/>
      <c r="L1541" s="2475"/>
      <c r="M1541" s="2475"/>
      <c r="N1541" s="2475"/>
      <c r="O1541" s="2475"/>
      <c r="P1541" s="2475"/>
      <c r="Q1541" s="2475"/>
      <c r="R1541" s="2476"/>
      <c r="S1541" s="2476"/>
      <c r="T1541" s="2476"/>
      <c r="U1541" s="2475"/>
      <c r="V1541" s="2475"/>
    </row>
    <row r="1542" spans="5:22" ht="15">
      <c r="E1542" s="2903" t="s">
        <v>655</v>
      </c>
      <c r="F1542" s="2902"/>
      <c r="G1542" s="2902"/>
      <c r="H1542" s="2475"/>
      <c r="I1542" s="2904" t="s">
        <v>3197</v>
      </c>
      <c r="J1542" s="2902"/>
      <c r="K1542" s="2902"/>
      <c r="L1542" s="2902"/>
      <c r="M1542" s="2902"/>
      <c r="N1542" s="2475"/>
      <c r="O1542" s="2475"/>
      <c r="P1542" s="2475"/>
      <c r="Q1542" s="2475"/>
      <c r="R1542" s="2476"/>
      <c r="S1542" s="2476"/>
      <c r="T1542" s="2476"/>
      <c r="U1542" s="2475"/>
      <c r="V1542" s="2475"/>
    </row>
    <row r="1543" spans="5:22" ht="15">
      <c r="E1543" s="2475"/>
      <c r="F1543" s="2475"/>
      <c r="G1543" s="2475"/>
      <c r="H1543" s="2475"/>
      <c r="I1543" s="2475"/>
      <c r="J1543" s="2475"/>
      <c r="K1543" s="2475"/>
      <c r="L1543" s="2475"/>
      <c r="M1543" s="2475"/>
      <c r="N1543" s="2475"/>
      <c r="O1543" s="2475"/>
      <c r="P1543" s="2475"/>
      <c r="Q1543" s="2475"/>
      <c r="R1543" s="2476"/>
      <c r="S1543" s="2476"/>
      <c r="T1543" s="2476"/>
      <c r="U1543" s="2475"/>
      <c r="V1543" s="2475"/>
    </row>
    <row r="1544" spans="5:22" ht="78.75">
      <c r="E1544" s="2475"/>
      <c r="F1544" s="2266" t="s">
        <v>657</v>
      </c>
      <c r="G1544" s="2893" t="s">
        <v>587</v>
      </c>
      <c r="H1544" s="2894"/>
      <c r="I1544" s="2894"/>
      <c r="J1544" s="2895"/>
      <c r="K1544" s="2893" t="s">
        <v>2751</v>
      </c>
      <c r="L1544" s="2895"/>
      <c r="M1544" s="2893" t="s">
        <v>2752</v>
      </c>
      <c r="N1544" s="2895"/>
      <c r="O1544" s="2266" t="s">
        <v>2753</v>
      </c>
      <c r="P1544" s="2266" t="s">
        <v>2754</v>
      </c>
      <c r="Q1544" s="2266" t="s">
        <v>2755</v>
      </c>
      <c r="R1544" s="2267" t="s">
        <v>2756</v>
      </c>
      <c r="S1544" s="2267" t="s">
        <v>2757</v>
      </c>
      <c r="T1544" s="2267" t="s">
        <v>2758</v>
      </c>
      <c r="U1544" s="2266" t="s">
        <v>623</v>
      </c>
      <c r="V1544" s="2266" t="s">
        <v>2759</v>
      </c>
    </row>
    <row r="1545" spans="5:22" ht="30">
      <c r="E1545" s="2475"/>
      <c r="F1545" s="2268">
        <v>1</v>
      </c>
      <c r="G1545" s="2882" t="s">
        <v>3198</v>
      </c>
      <c r="H1545" s="2883"/>
      <c r="I1545" s="2883"/>
      <c r="J1545" s="2884"/>
      <c r="K1545" s="2882" t="s">
        <v>2231</v>
      </c>
      <c r="L1545" s="2884"/>
      <c r="M1545" s="2882" t="s">
        <v>2762</v>
      </c>
      <c r="N1545" s="2884"/>
      <c r="O1545" s="2268" t="s">
        <v>2763</v>
      </c>
      <c r="P1545" s="2268" t="s">
        <v>2775</v>
      </c>
      <c r="Q1545" s="2268" t="s">
        <v>2765</v>
      </c>
      <c r="R1545" s="2269">
        <v>50000</v>
      </c>
      <c r="S1545" s="2270" t="s">
        <v>2766</v>
      </c>
      <c r="T1545" s="2270">
        <v>50000</v>
      </c>
      <c r="U1545" s="2268"/>
      <c r="V1545" s="2268" t="s">
        <v>2777</v>
      </c>
    </row>
    <row r="1546" spans="5:22" ht="30">
      <c r="E1546" s="2475"/>
      <c r="F1546" s="2271" t="s">
        <v>676</v>
      </c>
      <c r="G1546" s="2888" t="s">
        <v>676</v>
      </c>
      <c r="H1546" s="2889"/>
      <c r="I1546" s="2889"/>
      <c r="J1546" s="2890"/>
      <c r="K1546" s="2888" t="s">
        <v>676</v>
      </c>
      <c r="L1546" s="2890"/>
      <c r="M1546" s="2888" t="s">
        <v>676</v>
      </c>
      <c r="N1546" s="2890"/>
      <c r="O1546" s="2271" t="s">
        <v>676</v>
      </c>
      <c r="P1546" s="2271" t="s">
        <v>676</v>
      </c>
      <c r="Q1546" s="2271" t="s">
        <v>676</v>
      </c>
      <c r="R1546" s="2272" t="s">
        <v>676</v>
      </c>
      <c r="S1546" s="2270" t="s">
        <v>2769</v>
      </c>
      <c r="T1546" s="2270">
        <v>0</v>
      </c>
      <c r="U1546" s="2271" t="s">
        <v>676</v>
      </c>
      <c r="V1546" s="2271" t="s">
        <v>676</v>
      </c>
    </row>
    <row r="1547" spans="5:22" ht="30">
      <c r="E1547" s="2475"/>
      <c r="F1547" s="2271" t="s">
        <v>676</v>
      </c>
      <c r="G1547" s="2891" t="s">
        <v>676</v>
      </c>
      <c r="H1547" s="2889"/>
      <c r="I1547" s="2889"/>
      <c r="J1547" s="2890"/>
      <c r="K1547" s="2892" t="s">
        <v>676</v>
      </c>
      <c r="L1547" s="2889"/>
      <c r="M1547" s="2888" t="s">
        <v>676</v>
      </c>
      <c r="N1547" s="2890"/>
      <c r="O1547" s="2271" t="s">
        <v>676</v>
      </c>
      <c r="P1547" s="2271" t="s">
        <v>676</v>
      </c>
      <c r="Q1547" s="2271" t="s">
        <v>676</v>
      </c>
      <c r="R1547" s="2272" t="s">
        <v>676</v>
      </c>
      <c r="S1547" s="2270" t="s">
        <v>2770</v>
      </c>
      <c r="T1547" s="2270">
        <v>0</v>
      </c>
      <c r="U1547" s="2271" t="s">
        <v>676</v>
      </c>
      <c r="V1547" s="2271" t="s">
        <v>676</v>
      </c>
    </row>
    <row r="1548" spans="5:22" ht="30">
      <c r="E1548" s="2475"/>
      <c r="F1548" s="2268">
        <v>2</v>
      </c>
      <c r="G1548" s="2882" t="s">
        <v>3199</v>
      </c>
      <c r="H1548" s="2883"/>
      <c r="I1548" s="2883"/>
      <c r="J1548" s="2884"/>
      <c r="K1548" s="2882" t="s">
        <v>3200</v>
      </c>
      <c r="L1548" s="2884"/>
      <c r="M1548" s="2882" t="s">
        <v>2762</v>
      </c>
      <c r="N1548" s="2884"/>
      <c r="O1548" s="2268" t="s">
        <v>2763</v>
      </c>
      <c r="P1548" s="2268" t="s">
        <v>2775</v>
      </c>
      <c r="Q1548" s="2268" t="s">
        <v>2765</v>
      </c>
      <c r="R1548" s="2269">
        <v>30000</v>
      </c>
      <c r="S1548" s="2270" t="s">
        <v>2766</v>
      </c>
      <c r="T1548" s="2270">
        <v>30000</v>
      </c>
      <c r="U1548" s="2268"/>
      <c r="V1548" s="2268" t="s">
        <v>2928</v>
      </c>
    </row>
    <row r="1549" spans="5:22" ht="30">
      <c r="E1549" s="2475"/>
      <c r="F1549" s="2271" t="s">
        <v>676</v>
      </c>
      <c r="G1549" s="2888" t="s">
        <v>676</v>
      </c>
      <c r="H1549" s="2889"/>
      <c r="I1549" s="2889"/>
      <c r="J1549" s="2890"/>
      <c r="K1549" s="2888" t="s">
        <v>676</v>
      </c>
      <c r="L1549" s="2890"/>
      <c r="M1549" s="2888" t="s">
        <v>676</v>
      </c>
      <c r="N1549" s="2890"/>
      <c r="O1549" s="2271" t="s">
        <v>676</v>
      </c>
      <c r="P1549" s="2271" t="s">
        <v>676</v>
      </c>
      <c r="Q1549" s="2271" t="s">
        <v>676</v>
      </c>
      <c r="R1549" s="2272" t="s">
        <v>676</v>
      </c>
      <c r="S1549" s="2270" t="s">
        <v>2769</v>
      </c>
      <c r="T1549" s="2270">
        <v>0</v>
      </c>
      <c r="U1549" s="2271" t="s">
        <v>676</v>
      </c>
      <c r="V1549" s="2271" t="s">
        <v>676</v>
      </c>
    </row>
    <row r="1550" spans="5:22" ht="30">
      <c r="E1550" s="2475"/>
      <c r="F1550" s="2271" t="s">
        <v>676</v>
      </c>
      <c r="G1550" s="2891" t="s">
        <v>676</v>
      </c>
      <c r="H1550" s="2889"/>
      <c r="I1550" s="2889"/>
      <c r="J1550" s="2890"/>
      <c r="K1550" s="2892" t="s">
        <v>676</v>
      </c>
      <c r="L1550" s="2889"/>
      <c r="M1550" s="2888" t="s">
        <v>676</v>
      </c>
      <c r="N1550" s="2890"/>
      <c r="O1550" s="2271" t="s">
        <v>676</v>
      </c>
      <c r="P1550" s="2271" t="s">
        <v>676</v>
      </c>
      <c r="Q1550" s="2271" t="s">
        <v>676</v>
      </c>
      <c r="R1550" s="2272" t="s">
        <v>676</v>
      </c>
      <c r="S1550" s="2270" t="s">
        <v>2770</v>
      </c>
      <c r="T1550" s="2270">
        <v>0</v>
      </c>
      <c r="U1550" s="2271" t="s">
        <v>676</v>
      </c>
      <c r="V1550" s="2271" t="s">
        <v>676</v>
      </c>
    </row>
    <row r="1551" spans="5:22" ht="30">
      <c r="E1551" s="2475"/>
      <c r="F1551" s="2268">
        <v>3</v>
      </c>
      <c r="G1551" s="2882" t="s">
        <v>172</v>
      </c>
      <c r="H1551" s="2883"/>
      <c r="I1551" s="2883"/>
      <c r="J1551" s="2884"/>
      <c r="K1551" s="2882" t="s">
        <v>1898</v>
      </c>
      <c r="L1551" s="2884"/>
      <c r="M1551" s="2882" t="s">
        <v>2762</v>
      </c>
      <c r="N1551" s="2884"/>
      <c r="O1551" s="2268" t="s">
        <v>2763</v>
      </c>
      <c r="P1551" s="2268" t="s">
        <v>2775</v>
      </c>
      <c r="Q1551" s="2268" t="s">
        <v>2765</v>
      </c>
      <c r="R1551" s="2269">
        <v>50000</v>
      </c>
      <c r="S1551" s="2270" t="s">
        <v>2766</v>
      </c>
      <c r="T1551" s="2270">
        <v>50000</v>
      </c>
      <c r="U1551" s="2268"/>
      <c r="V1551" s="2268" t="s">
        <v>2777</v>
      </c>
    </row>
    <row r="1552" spans="5:22" ht="30">
      <c r="E1552" s="2475"/>
      <c r="F1552" s="2271" t="s">
        <v>676</v>
      </c>
      <c r="G1552" s="2888" t="s">
        <v>676</v>
      </c>
      <c r="H1552" s="2889"/>
      <c r="I1552" s="2889"/>
      <c r="J1552" s="2890"/>
      <c r="K1552" s="2888" t="s">
        <v>676</v>
      </c>
      <c r="L1552" s="2890"/>
      <c r="M1552" s="2888" t="s">
        <v>676</v>
      </c>
      <c r="N1552" s="2890"/>
      <c r="O1552" s="2271" t="s">
        <v>676</v>
      </c>
      <c r="P1552" s="2271" t="s">
        <v>676</v>
      </c>
      <c r="Q1552" s="2271" t="s">
        <v>676</v>
      </c>
      <c r="R1552" s="2272" t="s">
        <v>676</v>
      </c>
      <c r="S1552" s="2270" t="s">
        <v>2769</v>
      </c>
      <c r="T1552" s="2270">
        <v>0</v>
      </c>
      <c r="U1552" s="2271" t="s">
        <v>676</v>
      </c>
      <c r="V1552" s="2271" t="s">
        <v>676</v>
      </c>
    </row>
    <row r="1553" spans="5:22" ht="30">
      <c r="E1553" s="2475"/>
      <c r="F1553" s="2271" t="s">
        <v>676</v>
      </c>
      <c r="G1553" s="2891" t="s">
        <v>676</v>
      </c>
      <c r="H1553" s="2889"/>
      <c r="I1553" s="2889"/>
      <c r="J1553" s="2890"/>
      <c r="K1553" s="2892" t="s">
        <v>676</v>
      </c>
      <c r="L1553" s="2889"/>
      <c r="M1553" s="2888" t="s">
        <v>676</v>
      </c>
      <c r="N1553" s="2890"/>
      <c r="O1553" s="2271" t="s">
        <v>676</v>
      </c>
      <c r="P1553" s="2271" t="s">
        <v>676</v>
      </c>
      <c r="Q1553" s="2271" t="s">
        <v>676</v>
      </c>
      <c r="R1553" s="2272" t="s">
        <v>676</v>
      </c>
      <c r="S1553" s="2270" t="s">
        <v>2770</v>
      </c>
      <c r="T1553" s="2270">
        <v>0</v>
      </c>
      <c r="U1553" s="2271" t="s">
        <v>676</v>
      </c>
      <c r="V1553" s="2271" t="s">
        <v>676</v>
      </c>
    </row>
    <row r="1554" spans="5:22" ht="30">
      <c r="E1554" s="2475"/>
      <c r="F1554" s="2268">
        <v>4</v>
      </c>
      <c r="G1554" s="2882" t="s">
        <v>3201</v>
      </c>
      <c r="H1554" s="2883"/>
      <c r="I1554" s="2883"/>
      <c r="J1554" s="2884"/>
      <c r="K1554" s="2882" t="s">
        <v>3202</v>
      </c>
      <c r="L1554" s="2884"/>
      <c r="M1554" s="2882" t="s">
        <v>2762</v>
      </c>
      <c r="N1554" s="2884"/>
      <c r="O1554" s="2268" t="s">
        <v>2763</v>
      </c>
      <c r="P1554" s="2268" t="s">
        <v>2775</v>
      </c>
      <c r="Q1554" s="2268" t="s">
        <v>2765</v>
      </c>
      <c r="R1554" s="2269">
        <v>50000</v>
      </c>
      <c r="S1554" s="2270" t="s">
        <v>2766</v>
      </c>
      <c r="T1554" s="2270">
        <v>50000</v>
      </c>
      <c r="U1554" s="2268"/>
      <c r="V1554" s="2268" t="s">
        <v>3203</v>
      </c>
    </row>
    <row r="1555" spans="5:22" ht="30">
      <c r="E1555" s="2475"/>
      <c r="F1555" s="2271" t="s">
        <v>676</v>
      </c>
      <c r="G1555" s="2888" t="s">
        <v>676</v>
      </c>
      <c r="H1555" s="2889"/>
      <c r="I1555" s="2889"/>
      <c r="J1555" s="2890"/>
      <c r="K1555" s="2888" t="s">
        <v>676</v>
      </c>
      <c r="L1555" s="2890"/>
      <c r="M1555" s="2888" t="s">
        <v>676</v>
      </c>
      <c r="N1555" s="2890"/>
      <c r="O1555" s="2271" t="s">
        <v>676</v>
      </c>
      <c r="P1555" s="2271" t="s">
        <v>676</v>
      </c>
      <c r="Q1555" s="2271" t="s">
        <v>676</v>
      </c>
      <c r="R1555" s="2272" t="s">
        <v>676</v>
      </c>
      <c r="S1555" s="2270" t="s">
        <v>2769</v>
      </c>
      <c r="T1555" s="2270">
        <v>0</v>
      </c>
      <c r="U1555" s="2271" t="s">
        <v>676</v>
      </c>
      <c r="V1555" s="2271" t="s">
        <v>676</v>
      </c>
    </row>
    <row r="1556" spans="5:22" ht="30">
      <c r="E1556" s="2475"/>
      <c r="F1556" s="2271" t="s">
        <v>676</v>
      </c>
      <c r="G1556" s="2891" t="s">
        <v>676</v>
      </c>
      <c r="H1556" s="2889"/>
      <c r="I1556" s="2889"/>
      <c r="J1556" s="2890"/>
      <c r="K1556" s="2892" t="s">
        <v>676</v>
      </c>
      <c r="L1556" s="2889"/>
      <c r="M1556" s="2888" t="s">
        <v>676</v>
      </c>
      <c r="N1556" s="2890"/>
      <c r="O1556" s="2271" t="s">
        <v>676</v>
      </c>
      <c r="P1556" s="2271" t="s">
        <v>676</v>
      </c>
      <c r="Q1556" s="2271" t="s">
        <v>676</v>
      </c>
      <c r="R1556" s="2272" t="s">
        <v>676</v>
      </c>
      <c r="S1556" s="2270" t="s">
        <v>2770</v>
      </c>
      <c r="T1556" s="2270">
        <v>0</v>
      </c>
      <c r="U1556" s="2271" t="s">
        <v>676</v>
      </c>
      <c r="V1556" s="2271" t="s">
        <v>676</v>
      </c>
    </row>
    <row r="1557" spans="5:22" ht="30">
      <c r="E1557" s="2475"/>
      <c r="F1557" s="2268">
        <v>5</v>
      </c>
      <c r="G1557" s="2882" t="s">
        <v>3204</v>
      </c>
      <c r="H1557" s="2883"/>
      <c r="I1557" s="2883"/>
      <c r="J1557" s="2884"/>
      <c r="K1557" s="2882" t="s">
        <v>3205</v>
      </c>
      <c r="L1557" s="2884"/>
      <c r="M1557" s="2882" t="s">
        <v>2762</v>
      </c>
      <c r="N1557" s="2884"/>
      <c r="O1557" s="2268" t="s">
        <v>2763</v>
      </c>
      <c r="P1557" s="2268" t="s">
        <v>2764</v>
      </c>
      <c r="Q1557" s="2268" t="s">
        <v>2765</v>
      </c>
      <c r="R1557" s="2269">
        <v>90000</v>
      </c>
      <c r="S1557" s="2270" t="s">
        <v>2766</v>
      </c>
      <c r="T1557" s="2270">
        <v>90000</v>
      </c>
      <c r="U1557" s="2268"/>
      <c r="V1557" s="2268" t="s">
        <v>2767</v>
      </c>
    </row>
    <row r="1558" spans="5:22" ht="30">
      <c r="E1558" s="2475"/>
      <c r="F1558" s="2271" t="s">
        <v>676</v>
      </c>
      <c r="G1558" s="2888" t="s">
        <v>676</v>
      </c>
      <c r="H1558" s="2889"/>
      <c r="I1558" s="2889"/>
      <c r="J1558" s="2890"/>
      <c r="K1558" s="2888" t="s">
        <v>676</v>
      </c>
      <c r="L1558" s="2890"/>
      <c r="M1558" s="2888" t="s">
        <v>676</v>
      </c>
      <c r="N1558" s="2890"/>
      <c r="O1558" s="2271" t="s">
        <v>676</v>
      </c>
      <c r="P1558" s="2271" t="s">
        <v>676</v>
      </c>
      <c r="Q1558" s="2271" t="s">
        <v>676</v>
      </c>
      <c r="R1558" s="2272" t="s">
        <v>676</v>
      </c>
      <c r="S1558" s="2270" t="s">
        <v>2769</v>
      </c>
      <c r="T1558" s="2270">
        <v>0</v>
      </c>
      <c r="U1558" s="2271" t="s">
        <v>676</v>
      </c>
      <c r="V1558" s="2271" t="s">
        <v>676</v>
      </c>
    </row>
    <row r="1559" spans="5:22" ht="30">
      <c r="E1559" s="2475"/>
      <c r="F1559" s="2271" t="s">
        <v>676</v>
      </c>
      <c r="G1559" s="2891" t="s">
        <v>676</v>
      </c>
      <c r="H1559" s="2889"/>
      <c r="I1559" s="2889"/>
      <c r="J1559" s="2890"/>
      <c r="K1559" s="2892" t="s">
        <v>676</v>
      </c>
      <c r="L1559" s="2889"/>
      <c r="M1559" s="2888" t="s">
        <v>676</v>
      </c>
      <c r="N1559" s="2890"/>
      <c r="O1559" s="2271" t="s">
        <v>676</v>
      </c>
      <c r="P1559" s="2271" t="s">
        <v>676</v>
      </c>
      <c r="Q1559" s="2271" t="s">
        <v>676</v>
      </c>
      <c r="R1559" s="2272" t="s">
        <v>676</v>
      </c>
      <c r="S1559" s="2270" t="s">
        <v>2770</v>
      </c>
      <c r="T1559" s="2270">
        <v>0</v>
      </c>
      <c r="U1559" s="2271" t="s">
        <v>676</v>
      </c>
      <c r="V1559" s="2271" t="s">
        <v>676</v>
      </c>
    </row>
    <row r="1560" spans="5:22" ht="30">
      <c r="E1560" s="2475"/>
      <c r="F1560" s="2268">
        <v>6</v>
      </c>
      <c r="G1560" s="2882" t="s">
        <v>3206</v>
      </c>
      <c r="H1560" s="2883"/>
      <c r="I1560" s="2883"/>
      <c r="J1560" s="2884"/>
      <c r="K1560" s="2882" t="s">
        <v>699</v>
      </c>
      <c r="L1560" s="2884"/>
      <c r="M1560" s="2882" t="s">
        <v>2762</v>
      </c>
      <c r="N1560" s="2884"/>
      <c r="O1560" s="2268" t="s">
        <v>2763</v>
      </c>
      <c r="P1560" s="2268" t="s">
        <v>2775</v>
      </c>
      <c r="Q1560" s="2268" t="s">
        <v>2765</v>
      </c>
      <c r="R1560" s="2269">
        <v>50000</v>
      </c>
      <c r="S1560" s="2270" t="s">
        <v>2766</v>
      </c>
      <c r="T1560" s="2270">
        <v>50000</v>
      </c>
      <c r="U1560" s="2268"/>
      <c r="V1560" s="2268" t="s">
        <v>2777</v>
      </c>
    </row>
    <row r="1561" spans="5:22" ht="30">
      <c r="E1561" s="2475"/>
      <c r="F1561" s="2271" t="s">
        <v>676</v>
      </c>
      <c r="G1561" s="2888" t="s">
        <v>676</v>
      </c>
      <c r="H1561" s="2889"/>
      <c r="I1561" s="2889"/>
      <c r="J1561" s="2890"/>
      <c r="K1561" s="2888" t="s">
        <v>676</v>
      </c>
      <c r="L1561" s="2890"/>
      <c r="M1561" s="2888" t="s">
        <v>676</v>
      </c>
      <c r="N1561" s="2890"/>
      <c r="O1561" s="2271" t="s">
        <v>676</v>
      </c>
      <c r="P1561" s="2271" t="s">
        <v>676</v>
      </c>
      <c r="Q1561" s="2271" t="s">
        <v>676</v>
      </c>
      <c r="R1561" s="2272" t="s">
        <v>676</v>
      </c>
      <c r="S1561" s="2270" t="s">
        <v>2769</v>
      </c>
      <c r="T1561" s="2270">
        <v>0</v>
      </c>
      <c r="U1561" s="2271" t="s">
        <v>676</v>
      </c>
      <c r="V1561" s="2271" t="s">
        <v>676</v>
      </c>
    </row>
    <row r="1562" spans="5:22" ht="30">
      <c r="E1562" s="2475"/>
      <c r="F1562" s="2271" t="s">
        <v>676</v>
      </c>
      <c r="G1562" s="2891" t="s">
        <v>676</v>
      </c>
      <c r="H1562" s="2889"/>
      <c r="I1562" s="2889"/>
      <c r="J1562" s="2890"/>
      <c r="K1562" s="2892" t="s">
        <v>676</v>
      </c>
      <c r="L1562" s="2889"/>
      <c r="M1562" s="2888" t="s">
        <v>676</v>
      </c>
      <c r="N1562" s="2890"/>
      <c r="O1562" s="2271" t="s">
        <v>676</v>
      </c>
      <c r="P1562" s="2271" t="s">
        <v>676</v>
      </c>
      <c r="Q1562" s="2271" t="s">
        <v>676</v>
      </c>
      <c r="R1562" s="2272" t="s">
        <v>676</v>
      </c>
      <c r="S1562" s="2270" t="s">
        <v>2770</v>
      </c>
      <c r="T1562" s="2270">
        <v>0</v>
      </c>
      <c r="U1562" s="2271" t="s">
        <v>676</v>
      </c>
      <c r="V1562" s="2271" t="s">
        <v>676</v>
      </c>
    </row>
    <row r="1563" spans="5:22" ht="30">
      <c r="E1563" s="2475"/>
      <c r="F1563" s="2268">
        <v>7</v>
      </c>
      <c r="G1563" s="2882" t="s">
        <v>3207</v>
      </c>
      <c r="H1563" s="2883"/>
      <c r="I1563" s="2883"/>
      <c r="J1563" s="2884"/>
      <c r="K1563" s="2882" t="s">
        <v>1882</v>
      </c>
      <c r="L1563" s="2884"/>
      <c r="M1563" s="2882" t="s">
        <v>2762</v>
      </c>
      <c r="N1563" s="2884"/>
      <c r="O1563" s="2268" t="s">
        <v>3208</v>
      </c>
      <c r="P1563" s="2268" t="s">
        <v>2764</v>
      </c>
      <c r="Q1563" s="2268" t="s">
        <v>2776</v>
      </c>
      <c r="R1563" s="2269">
        <v>200000</v>
      </c>
      <c r="S1563" s="2270" t="s">
        <v>2766</v>
      </c>
      <c r="T1563" s="2270">
        <v>200000</v>
      </c>
      <c r="U1563" s="2268" t="s">
        <v>1883</v>
      </c>
      <c r="V1563" s="2268" t="s">
        <v>2767</v>
      </c>
    </row>
    <row r="1564" spans="5:22" ht="30">
      <c r="E1564" s="2475"/>
      <c r="F1564" s="2271" t="s">
        <v>676</v>
      </c>
      <c r="G1564" s="2888" t="s">
        <v>676</v>
      </c>
      <c r="H1564" s="2889"/>
      <c r="I1564" s="2889"/>
      <c r="J1564" s="2890"/>
      <c r="K1564" s="2888" t="s">
        <v>676</v>
      </c>
      <c r="L1564" s="2890"/>
      <c r="M1564" s="2888" t="s">
        <v>676</v>
      </c>
      <c r="N1564" s="2890"/>
      <c r="O1564" s="2271" t="s">
        <v>676</v>
      </c>
      <c r="P1564" s="2271" t="s">
        <v>676</v>
      </c>
      <c r="Q1564" s="2271" t="s">
        <v>676</v>
      </c>
      <c r="R1564" s="2272" t="s">
        <v>676</v>
      </c>
      <c r="S1564" s="2270" t="s">
        <v>2769</v>
      </c>
      <c r="T1564" s="2270">
        <v>0</v>
      </c>
      <c r="U1564" s="2271" t="s">
        <v>676</v>
      </c>
      <c r="V1564" s="2271" t="s">
        <v>676</v>
      </c>
    </row>
    <row r="1565" spans="5:22" ht="30">
      <c r="E1565" s="2475"/>
      <c r="F1565" s="2271" t="s">
        <v>676</v>
      </c>
      <c r="G1565" s="2891" t="s">
        <v>676</v>
      </c>
      <c r="H1565" s="2889"/>
      <c r="I1565" s="2889"/>
      <c r="J1565" s="2890"/>
      <c r="K1565" s="2892" t="s">
        <v>676</v>
      </c>
      <c r="L1565" s="2889"/>
      <c r="M1565" s="2888" t="s">
        <v>676</v>
      </c>
      <c r="N1565" s="2890"/>
      <c r="O1565" s="2271" t="s">
        <v>676</v>
      </c>
      <c r="P1565" s="2271" t="s">
        <v>676</v>
      </c>
      <c r="Q1565" s="2271" t="s">
        <v>676</v>
      </c>
      <c r="R1565" s="2272" t="s">
        <v>676</v>
      </c>
      <c r="S1565" s="2270" t="s">
        <v>2770</v>
      </c>
      <c r="T1565" s="2270">
        <v>0</v>
      </c>
      <c r="U1565" s="2271" t="s">
        <v>676</v>
      </c>
      <c r="V1565" s="2271" t="s">
        <v>676</v>
      </c>
    </row>
    <row r="1566" spans="5:22" ht="30">
      <c r="E1566" s="2475"/>
      <c r="F1566" s="2268">
        <v>8</v>
      </c>
      <c r="G1566" s="2882" t="s">
        <v>3209</v>
      </c>
      <c r="H1566" s="2883"/>
      <c r="I1566" s="2883"/>
      <c r="J1566" s="2884"/>
      <c r="K1566" s="2882" t="s">
        <v>3210</v>
      </c>
      <c r="L1566" s="2884"/>
      <c r="M1566" s="2882" t="s">
        <v>2762</v>
      </c>
      <c r="N1566" s="2884"/>
      <c r="O1566" s="2268" t="s">
        <v>2763</v>
      </c>
      <c r="P1566" s="2268" t="s">
        <v>2764</v>
      </c>
      <c r="Q1566" s="2268" t="s">
        <v>2765</v>
      </c>
      <c r="R1566" s="2269">
        <v>90000</v>
      </c>
      <c r="S1566" s="2270" t="s">
        <v>2766</v>
      </c>
      <c r="T1566" s="2270">
        <v>90000</v>
      </c>
      <c r="U1566" s="2268"/>
      <c r="V1566" s="2268" t="s">
        <v>2767</v>
      </c>
    </row>
    <row r="1567" spans="5:22" ht="30">
      <c r="E1567" s="2475"/>
      <c r="F1567" s="2271" t="s">
        <v>676</v>
      </c>
      <c r="G1567" s="2888" t="s">
        <v>676</v>
      </c>
      <c r="H1567" s="2889"/>
      <c r="I1567" s="2889"/>
      <c r="J1567" s="2890"/>
      <c r="K1567" s="2888" t="s">
        <v>676</v>
      </c>
      <c r="L1567" s="2890"/>
      <c r="M1567" s="2888" t="s">
        <v>676</v>
      </c>
      <c r="N1567" s="2890"/>
      <c r="O1567" s="2271" t="s">
        <v>676</v>
      </c>
      <c r="P1567" s="2271" t="s">
        <v>676</v>
      </c>
      <c r="Q1567" s="2271" t="s">
        <v>676</v>
      </c>
      <c r="R1567" s="2272" t="s">
        <v>676</v>
      </c>
      <c r="S1567" s="2270" t="s">
        <v>2769</v>
      </c>
      <c r="T1567" s="2270">
        <v>0</v>
      </c>
      <c r="U1567" s="2271" t="s">
        <v>676</v>
      </c>
      <c r="V1567" s="2271" t="s">
        <v>676</v>
      </c>
    </row>
    <row r="1568" spans="5:22" ht="30">
      <c r="E1568" s="2475"/>
      <c r="F1568" s="2271" t="s">
        <v>676</v>
      </c>
      <c r="G1568" s="2891" t="s">
        <v>676</v>
      </c>
      <c r="H1568" s="2889"/>
      <c r="I1568" s="2889"/>
      <c r="J1568" s="2890"/>
      <c r="K1568" s="2892" t="s">
        <v>676</v>
      </c>
      <c r="L1568" s="2889"/>
      <c r="M1568" s="2888" t="s">
        <v>676</v>
      </c>
      <c r="N1568" s="2890"/>
      <c r="O1568" s="2271" t="s">
        <v>676</v>
      </c>
      <c r="P1568" s="2271" t="s">
        <v>676</v>
      </c>
      <c r="Q1568" s="2271" t="s">
        <v>676</v>
      </c>
      <c r="R1568" s="2272" t="s">
        <v>676</v>
      </c>
      <c r="S1568" s="2270" t="s">
        <v>2770</v>
      </c>
      <c r="T1568" s="2270">
        <v>0</v>
      </c>
      <c r="U1568" s="2271" t="s">
        <v>676</v>
      </c>
      <c r="V1568" s="2271" t="s">
        <v>676</v>
      </c>
    </row>
    <row r="1569" spans="5:22" ht="30">
      <c r="E1569" s="2475"/>
      <c r="F1569" s="2268">
        <v>9</v>
      </c>
      <c r="G1569" s="2882" t="s">
        <v>3192</v>
      </c>
      <c r="H1569" s="2883"/>
      <c r="I1569" s="2883"/>
      <c r="J1569" s="2884"/>
      <c r="K1569" s="2882" t="s">
        <v>687</v>
      </c>
      <c r="L1569" s="2884"/>
      <c r="M1569" s="2882" t="s">
        <v>2762</v>
      </c>
      <c r="N1569" s="2884"/>
      <c r="O1569" s="2268" t="s">
        <v>2763</v>
      </c>
      <c r="P1569" s="2268" t="s">
        <v>2775</v>
      </c>
      <c r="Q1569" s="2268" t="s">
        <v>2776</v>
      </c>
      <c r="R1569" s="2269">
        <v>300000</v>
      </c>
      <c r="S1569" s="2270" t="s">
        <v>2766</v>
      </c>
      <c r="T1569" s="2270">
        <v>300000</v>
      </c>
      <c r="U1569" s="2268" t="s">
        <v>688</v>
      </c>
      <c r="V1569" s="2268" t="s">
        <v>3026</v>
      </c>
    </row>
    <row r="1570" spans="5:22" ht="30">
      <c r="E1570" s="2475"/>
      <c r="F1570" s="2271" t="s">
        <v>676</v>
      </c>
      <c r="G1570" s="2888" t="s">
        <v>676</v>
      </c>
      <c r="H1570" s="2889"/>
      <c r="I1570" s="2889"/>
      <c r="J1570" s="2890"/>
      <c r="K1570" s="2888" t="s">
        <v>676</v>
      </c>
      <c r="L1570" s="2890"/>
      <c r="M1570" s="2888" t="s">
        <v>676</v>
      </c>
      <c r="N1570" s="2890"/>
      <c r="O1570" s="2271" t="s">
        <v>676</v>
      </c>
      <c r="P1570" s="2271" t="s">
        <v>676</v>
      </c>
      <c r="Q1570" s="2271" t="s">
        <v>676</v>
      </c>
      <c r="R1570" s="2272" t="s">
        <v>676</v>
      </c>
      <c r="S1570" s="2270" t="s">
        <v>2769</v>
      </c>
      <c r="T1570" s="2270">
        <v>0</v>
      </c>
      <c r="U1570" s="2271" t="s">
        <v>676</v>
      </c>
      <c r="V1570" s="2271" t="s">
        <v>676</v>
      </c>
    </row>
    <row r="1571" spans="5:22" ht="30">
      <c r="E1571" s="2475"/>
      <c r="F1571" s="2271" t="s">
        <v>676</v>
      </c>
      <c r="G1571" s="2891" t="s">
        <v>676</v>
      </c>
      <c r="H1571" s="2889"/>
      <c r="I1571" s="2889"/>
      <c r="J1571" s="2890"/>
      <c r="K1571" s="2892" t="s">
        <v>676</v>
      </c>
      <c r="L1571" s="2889"/>
      <c r="M1571" s="2888" t="s">
        <v>676</v>
      </c>
      <c r="N1571" s="2890"/>
      <c r="O1571" s="2271" t="s">
        <v>676</v>
      </c>
      <c r="P1571" s="2271" t="s">
        <v>676</v>
      </c>
      <c r="Q1571" s="2271" t="s">
        <v>676</v>
      </c>
      <c r="R1571" s="2272" t="s">
        <v>676</v>
      </c>
      <c r="S1571" s="2270" t="s">
        <v>2770</v>
      </c>
      <c r="T1571" s="2270">
        <v>0</v>
      </c>
      <c r="U1571" s="2271" t="s">
        <v>676</v>
      </c>
      <c r="V1571" s="2271" t="s">
        <v>676</v>
      </c>
    </row>
    <row r="1572" spans="5:22" ht="30">
      <c r="E1572" s="2475"/>
      <c r="F1572" s="2268">
        <v>10</v>
      </c>
      <c r="G1572" s="2882" t="s">
        <v>3211</v>
      </c>
      <c r="H1572" s="2883"/>
      <c r="I1572" s="2883"/>
      <c r="J1572" s="2884"/>
      <c r="K1572" s="2882" t="s">
        <v>3146</v>
      </c>
      <c r="L1572" s="2884"/>
      <c r="M1572" s="2882" t="s">
        <v>2762</v>
      </c>
      <c r="N1572" s="2884"/>
      <c r="O1572" s="2268" t="s">
        <v>2763</v>
      </c>
      <c r="P1572" s="2268" t="s">
        <v>2764</v>
      </c>
      <c r="Q1572" s="2268" t="s">
        <v>2765</v>
      </c>
      <c r="R1572" s="2269">
        <v>30000</v>
      </c>
      <c r="S1572" s="2270" t="s">
        <v>2766</v>
      </c>
      <c r="T1572" s="2270">
        <v>30000</v>
      </c>
      <c r="U1572" s="2268"/>
      <c r="V1572" s="2268" t="s">
        <v>2767</v>
      </c>
    </row>
    <row r="1573" spans="5:22" ht="30">
      <c r="E1573" s="2475"/>
      <c r="F1573" s="2456" t="s">
        <v>676</v>
      </c>
      <c r="G1573" s="2885" t="s">
        <v>676</v>
      </c>
      <c r="H1573" s="2886"/>
      <c r="I1573" s="2886"/>
      <c r="J1573" s="2887"/>
      <c r="K1573" s="2885" t="s">
        <v>676</v>
      </c>
      <c r="L1573" s="2887"/>
      <c r="M1573" s="2885" t="s">
        <v>676</v>
      </c>
      <c r="N1573" s="2887"/>
      <c r="O1573" s="2456" t="s">
        <v>676</v>
      </c>
      <c r="P1573" s="2456" t="s">
        <v>676</v>
      </c>
      <c r="Q1573" s="2456" t="s">
        <v>676</v>
      </c>
      <c r="R1573" s="2460" t="s">
        <v>676</v>
      </c>
      <c r="S1573" s="2270" t="s">
        <v>2769</v>
      </c>
      <c r="T1573" s="2270">
        <v>0</v>
      </c>
      <c r="U1573" s="2456" t="s">
        <v>676</v>
      </c>
      <c r="V1573" s="2456" t="s">
        <v>676</v>
      </c>
    </row>
    <row r="1574" spans="5:22" ht="90">
      <c r="E1574" s="2475"/>
      <c r="F1574" s="2265"/>
      <c r="G1574" s="2416" t="s">
        <v>82</v>
      </c>
      <c r="H1574" s="2463" t="s">
        <v>82</v>
      </c>
      <c r="I1574" s="2464"/>
      <c r="J1574" s="2372"/>
      <c r="K1574" s="2372"/>
      <c r="L1574" s="2372"/>
      <c r="M1574" s="2372"/>
      <c r="N1574" s="2373"/>
      <c r="O1574" s="2373"/>
      <c r="P1574" s="2373"/>
      <c r="Q1574" s="2372"/>
      <c r="R1574" s="2307">
        <f t="shared" ref="R1574:T1574" si="25">SUM(R1545:R1573)</f>
        <v>940000</v>
      </c>
      <c r="S1574" s="2307">
        <f t="shared" si="25"/>
        <v>0</v>
      </c>
      <c r="T1574" s="2307">
        <f t="shared" si="25"/>
        <v>940000</v>
      </c>
      <c r="U1574" s="2265"/>
      <c r="V1574" s="2265"/>
    </row>
    <row r="1575" spans="5:22" ht="20.25">
      <c r="E1575" s="2475"/>
      <c r="F1575" s="2475"/>
      <c r="G1575" s="2475"/>
      <c r="H1575" s="2475"/>
      <c r="I1575" s="2475"/>
      <c r="J1575" s="2475"/>
      <c r="K1575" s="2475"/>
      <c r="L1575" s="2475"/>
      <c r="M1575" s="2475"/>
      <c r="N1575" s="2475"/>
      <c r="O1575" s="1425"/>
      <c r="P1575" s="2475"/>
      <c r="Q1575" s="2475"/>
      <c r="R1575" s="2328" t="s">
        <v>2789</v>
      </c>
      <c r="S1575" s="2476"/>
      <c r="T1575" s="2476"/>
      <c r="U1575" s="2475"/>
      <c r="V1575" s="2475"/>
    </row>
    <row r="1576" spans="5:22" ht="20.25">
      <c r="E1576" s="2475"/>
      <c r="F1576" s="2475"/>
      <c r="G1576" s="2475"/>
      <c r="H1576" s="2475"/>
      <c r="I1576" s="2475"/>
      <c r="J1576" s="2475"/>
      <c r="K1576" s="2475"/>
      <c r="L1576" s="2475"/>
      <c r="M1576" s="2475"/>
      <c r="N1576" s="2475"/>
      <c r="O1576" s="1425"/>
      <c r="P1576" s="2475"/>
      <c r="Q1576" s="2475"/>
      <c r="R1576" s="2328" t="s">
        <v>2790</v>
      </c>
      <c r="S1576" s="2476"/>
      <c r="T1576" s="2476"/>
      <c r="U1576" s="2475"/>
      <c r="V1576" s="2475"/>
    </row>
  </sheetData>
  <mergeCells count="3434">
    <mergeCell ref="C137:F137"/>
    <mergeCell ref="G137:H137"/>
    <mergeCell ref="I137:J137"/>
    <mergeCell ref="C138:F138"/>
    <mergeCell ref="G138:H138"/>
    <mergeCell ref="I138:J138"/>
    <mergeCell ref="A130:G130"/>
    <mergeCell ref="A132:C132"/>
    <mergeCell ref="A134:C134"/>
    <mergeCell ref="E134:I134"/>
    <mergeCell ref="C136:F136"/>
    <mergeCell ref="G136:H136"/>
    <mergeCell ref="I136:J136"/>
    <mergeCell ref="A68:E68"/>
    <mergeCell ref="F68:M68"/>
    <mergeCell ref="O68:S68"/>
    <mergeCell ref="T68:AA68"/>
    <mergeCell ref="A69:E69"/>
    <mergeCell ref="A70:A71"/>
    <mergeCell ref="B70:B71"/>
    <mergeCell ref="F70:N70"/>
    <mergeCell ref="O70:S70"/>
    <mergeCell ref="T70:AB70"/>
    <mergeCell ref="C143:F143"/>
    <mergeCell ref="G143:H143"/>
    <mergeCell ref="I143:J143"/>
    <mergeCell ref="C144:F144"/>
    <mergeCell ref="G144:H144"/>
    <mergeCell ref="I144:J144"/>
    <mergeCell ref="C141:F141"/>
    <mergeCell ref="G141:H141"/>
    <mergeCell ref="I141:J141"/>
    <mergeCell ref="C142:F142"/>
    <mergeCell ref="G142:H142"/>
    <mergeCell ref="I142:J142"/>
    <mergeCell ref="C139:F139"/>
    <mergeCell ref="G139:H139"/>
    <mergeCell ref="I139:J139"/>
    <mergeCell ref="C140:F140"/>
    <mergeCell ref="G140:H140"/>
    <mergeCell ref="I140:J140"/>
    <mergeCell ref="C149:F149"/>
    <mergeCell ref="G149:H149"/>
    <mergeCell ref="I149:J149"/>
    <mergeCell ref="C150:F150"/>
    <mergeCell ref="G150:H150"/>
    <mergeCell ref="I150:J150"/>
    <mergeCell ref="C147:F147"/>
    <mergeCell ref="G147:H147"/>
    <mergeCell ref="I147:J147"/>
    <mergeCell ref="C148:F148"/>
    <mergeCell ref="G148:H148"/>
    <mergeCell ref="I148:J148"/>
    <mergeCell ref="C145:F145"/>
    <mergeCell ref="G145:H145"/>
    <mergeCell ref="I145:J145"/>
    <mergeCell ref="C146:F146"/>
    <mergeCell ref="G146:H146"/>
    <mergeCell ref="I146:J146"/>
    <mergeCell ref="C155:F155"/>
    <mergeCell ref="G155:H155"/>
    <mergeCell ref="I155:J155"/>
    <mergeCell ref="C156:F156"/>
    <mergeCell ref="G156:H156"/>
    <mergeCell ref="I156:J156"/>
    <mergeCell ref="C153:F153"/>
    <mergeCell ref="G153:H153"/>
    <mergeCell ref="I153:J153"/>
    <mergeCell ref="C154:F154"/>
    <mergeCell ref="G154:H154"/>
    <mergeCell ref="I154:J154"/>
    <mergeCell ref="C151:F151"/>
    <mergeCell ref="G151:H151"/>
    <mergeCell ref="I151:J151"/>
    <mergeCell ref="C152:F152"/>
    <mergeCell ref="G152:H152"/>
    <mergeCell ref="I152:J152"/>
    <mergeCell ref="C161:F161"/>
    <mergeCell ref="G161:H161"/>
    <mergeCell ref="I161:J161"/>
    <mergeCell ref="C162:F162"/>
    <mergeCell ref="G162:H162"/>
    <mergeCell ref="I162:J162"/>
    <mergeCell ref="C159:F159"/>
    <mergeCell ref="G159:H159"/>
    <mergeCell ref="I159:J159"/>
    <mergeCell ref="C160:F160"/>
    <mergeCell ref="G160:H160"/>
    <mergeCell ref="I160:J160"/>
    <mergeCell ref="C157:F157"/>
    <mergeCell ref="G157:H157"/>
    <mergeCell ref="I157:J157"/>
    <mergeCell ref="C158:F158"/>
    <mergeCell ref="G158:H158"/>
    <mergeCell ref="I158:J158"/>
    <mergeCell ref="C167:F167"/>
    <mergeCell ref="G167:H167"/>
    <mergeCell ref="I167:J167"/>
    <mergeCell ref="C168:F168"/>
    <mergeCell ref="G168:H168"/>
    <mergeCell ref="I168:J168"/>
    <mergeCell ref="C165:F165"/>
    <mergeCell ref="G165:H165"/>
    <mergeCell ref="I165:J165"/>
    <mergeCell ref="C166:F166"/>
    <mergeCell ref="G166:H166"/>
    <mergeCell ref="I166:J166"/>
    <mergeCell ref="C163:F163"/>
    <mergeCell ref="G163:H163"/>
    <mergeCell ref="I163:J163"/>
    <mergeCell ref="C164:F164"/>
    <mergeCell ref="G164:H164"/>
    <mergeCell ref="I164:J164"/>
    <mergeCell ref="C181:F181"/>
    <mergeCell ref="G181:H181"/>
    <mergeCell ref="I181:J181"/>
    <mergeCell ref="C182:F182"/>
    <mergeCell ref="G182:H182"/>
    <mergeCell ref="I182:J182"/>
    <mergeCell ref="C179:F179"/>
    <mergeCell ref="G179:H179"/>
    <mergeCell ref="I179:J179"/>
    <mergeCell ref="C180:F180"/>
    <mergeCell ref="G180:H180"/>
    <mergeCell ref="I180:J180"/>
    <mergeCell ref="C169:F169"/>
    <mergeCell ref="G169:H169"/>
    <mergeCell ref="I169:J169"/>
    <mergeCell ref="A173:G173"/>
    <mergeCell ref="A175:C175"/>
    <mergeCell ref="A177:C177"/>
    <mergeCell ref="E177:I177"/>
    <mergeCell ref="C187:F187"/>
    <mergeCell ref="G187:H187"/>
    <mergeCell ref="I187:J187"/>
    <mergeCell ref="C188:F188"/>
    <mergeCell ref="G188:H188"/>
    <mergeCell ref="I188:J188"/>
    <mergeCell ref="C185:F185"/>
    <mergeCell ref="G185:H185"/>
    <mergeCell ref="I185:J185"/>
    <mergeCell ref="C186:F186"/>
    <mergeCell ref="G186:H186"/>
    <mergeCell ref="I186:J186"/>
    <mergeCell ref="C183:F183"/>
    <mergeCell ref="G183:H183"/>
    <mergeCell ref="I183:J183"/>
    <mergeCell ref="C184:F184"/>
    <mergeCell ref="G184:H184"/>
    <mergeCell ref="I184:J184"/>
    <mergeCell ref="C193:F193"/>
    <mergeCell ref="G193:H193"/>
    <mergeCell ref="I193:J193"/>
    <mergeCell ref="C194:F194"/>
    <mergeCell ref="G194:H194"/>
    <mergeCell ref="I194:J194"/>
    <mergeCell ref="C191:F191"/>
    <mergeCell ref="G191:H191"/>
    <mergeCell ref="I191:J191"/>
    <mergeCell ref="C192:F192"/>
    <mergeCell ref="G192:H192"/>
    <mergeCell ref="I192:J192"/>
    <mergeCell ref="C189:F189"/>
    <mergeCell ref="G189:H189"/>
    <mergeCell ref="I189:J189"/>
    <mergeCell ref="C190:F190"/>
    <mergeCell ref="G190:H190"/>
    <mergeCell ref="I190:J190"/>
    <mergeCell ref="C199:F199"/>
    <mergeCell ref="G199:H199"/>
    <mergeCell ref="I199:J199"/>
    <mergeCell ref="C200:F200"/>
    <mergeCell ref="G200:H200"/>
    <mergeCell ref="I200:J200"/>
    <mergeCell ref="C197:F197"/>
    <mergeCell ref="G197:H197"/>
    <mergeCell ref="I197:J197"/>
    <mergeCell ref="C198:F198"/>
    <mergeCell ref="G198:H198"/>
    <mergeCell ref="I198:J198"/>
    <mergeCell ref="C195:F195"/>
    <mergeCell ref="G195:H195"/>
    <mergeCell ref="I195:J195"/>
    <mergeCell ref="C196:F196"/>
    <mergeCell ref="G196:H196"/>
    <mergeCell ref="I196:J196"/>
    <mergeCell ref="C205:F205"/>
    <mergeCell ref="G205:H205"/>
    <mergeCell ref="I205:J205"/>
    <mergeCell ref="C206:F206"/>
    <mergeCell ref="G206:H206"/>
    <mergeCell ref="I206:J206"/>
    <mergeCell ref="C203:F203"/>
    <mergeCell ref="G203:H203"/>
    <mergeCell ref="I203:J203"/>
    <mergeCell ref="C204:F204"/>
    <mergeCell ref="G204:H204"/>
    <mergeCell ref="I204:J204"/>
    <mergeCell ref="C201:F201"/>
    <mergeCell ref="G201:H201"/>
    <mergeCell ref="I201:J201"/>
    <mergeCell ref="C202:F202"/>
    <mergeCell ref="G202:H202"/>
    <mergeCell ref="I202:J202"/>
    <mergeCell ref="C211:F211"/>
    <mergeCell ref="G211:H211"/>
    <mergeCell ref="I211:J211"/>
    <mergeCell ref="C212:F212"/>
    <mergeCell ref="G212:H212"/>
    <mergeCell ref="I212:J212"/>
    <mergeCell ref="C209:F209"/>
    <mergeCell ref="G209:H209"/>
    <mergeCell ref="I209:J209"/>
    <mergeCell ref="C210:F210"/>
    <mergeCell ref="G210:H210"/>
    <mergeCell ref="I210:J210"/>
    <mergeCell ref="C207:F207"/>
    <mergeCell ref="G207:H207"/>
    <mergeCell ref="I207:J207"/>
    <mergeCell ref="C208:F208"/>
    <mergeCell ref="G208:H208"/>
    <mergeCell ref="I208:J208"/>
    <mergeCell ref="C217:F217"/>
    <mergeCell ref="G217:H217"/>
    <mergeCell ref="I217:J217"/>
    <mergeCell ref="C218:F218"/>
    <mergeCell ref="G218:H218"/>
    <mergeCell ref="I218:J218"/>
    <mergeCell ref="C215:F215"/>
    <mergeCell ref="G215:H215"/>
    <mergeCell ref="I215:J215"/>
    <mergeCell ref="C216:F216"/>
    <mergeCell ref="G216:H216"/>
    <mergeCell ref="I216:J216"/>
    <mergeCell ref="C213:F213"/>
    <mergeCell ref="G213:H213"/>
    <mergeCell ref="I213:J213"/>
    <mergeCell ref="C214:F214"/>
    <mergeCell ref="G214:H214"/>
    <mergeCell ref="I214:J214"/>
    <mergeCell ref="C223:F223"/>
    <mergeCell ref="G223:H223"/>
    <mergeCell ref="I223:J223"/>
    <mergeCell ref="C224:F224"/>
    <mergeCell ref="G224:H224"/>
    <mergeCell ref="I224:J224"/>
    <mergeCell ref="C221:F221"/>
    <mergeCell ref="G221:H221"/>
    <mergeCell ref="I221:J221"/>
    <mergeCell ref="C222:F222"/>
    <mergeCell ref="G222:H222"/>
    <mergeCell ref="I222:J222"/>
    <mergeCell ref="C219:F219"/>
    <mergeCell ref="G219:H219"/>
    <mergeCell ref="I219:J219"/>
    <mergeCell ref="C220:F220"/>
    <mergeCell ref="G220:H220"/>
    <mergeCell ref="I220:J220"/>
    <mergeCell ref="C229:F229"/>
    <mergeCell ref="G229:H229"/>
    <mergeCell ref="I229:J229"/>
    <mergeCell ref="C230:F230"/>
    <mergeCell ref="G230:H230"/>
    <mergeCell ref="I230:J230"/>
    <mergeCell ref="C227:F227"/>
    <mergeCell ref="G227:H227"/>
    <mergeCell ref="I227:J227"/>
    <mergeCell ref="C228:F228"/>
    <mergeCell ref="G228:H228"/>
    <mergeCell ref="I228:J228"/>
    <mergeCell ref="C225:F225"/>
    <mergeCell ref="G225:H225"/>
    <mergeCell ref="I225:J225"/>
    <mergeCell ref="C226:F226"/>
    <mergeCell ref="G226:H226"/>
    <mergeCell ref="I226:J226"/>
    <mergeCell ref="C243:F243"/>
    <mergeCell ref="G243:H243"/>
    <mergeCell ref="I243:J243"/>
    <mergeCell ref="C244:F244"/>
    <mergeCell ref="G244:H244"/>
    <mergeCell ref="I244:J244"/>
    <mergeCell ref="C233:F233"/>
    <mergeCell ref="G233:H233"/>
    <mergeCell ref="I233:J233"/>
    <mergeCell ref="A237:G237"/>
    <mergeCell ref="A239:C239"/>
    <mergeCell ref="A241:C241"/>
    <mergeCell ref="E241:I241"/>
    <mergeCell ref="C231:F231"/>
    <mergeCell ref="G231:H231"/>
    <mergeCell ref="I231:J231"/>
    <mergeCell ref="C232:F232"/>
    <mergeCell ref="G232:H232"/>
    <mergeCell ref="I232:J232"/>
    <mergeCell ref="C249:F249"/>
    <mergeCell ref="G249:H249"/>
    <mergeCell ref="I249:J249"/>
    <mergeCell ref="C250:F250"/>
    <mergeCell ref="G250:H250"/>
    <mergeCell ref="I250:J250"/>
    <mergeCell ref="C247:F247"/>
    <mergeCell ref="G247:H247"/>
    <mergeCell ref="I247:J247"/>
    <mergeCell ref="C248:F248"/>
    <mergeCell ref="G248:H248"/>
    <mergeCell ref="I248:J248"/>
    <mergeCell ref="C245:F245"/>
    <mergeCell ref="G245:H245"/>
    <mergeCell ref="I245:J245"/>
    <mergeCell ref="C246:F246"/>
    <mergeCell ref="G246:H246"/>
    <mergeCell ref="I246:J246"/>
    <mergeCell ref="C255:F255"/>
    <mergeCell ref="G255:H255"/>
    <mergeCell ref="I255:J255"/>
    <mergeCell ref="C256:F256"/>
    <mergeCell ref="G256:H256"/>
    <mergeCell ref="I256:J256"/>
    <mergeCell ref="C253:F253"/>
    <mergeCell ref="G253:H253"/>
    <mergeCell ref="I253:J253"/>
    <mergeCell ref="C254:F254"/>
    <mergeCell ref="G254:H254"/>
    <mergeCell ref="I254:J254"/>
    <mergeCell ref="C251:F251"/>
    <mergeCell ref="G251:H251"/>
    <mergeCell ref="I251:J251"/>
    <mergeCell ref="C252:F252"/>
    <mergeCell ref="G252:H252"/>
    <mergeCell ref="I252:J252"/>
    <mergeCell ref="C261:F261"/>
    <mergeCell ref="G261:H261"/>
    <mergeCell ref="I261:J261"/>
    <mergeCell ref="C262:F262"/>
    <mergeCell ref="G262:H262"/>
    <mergeCell ref="I262:J262"/>
    <mergeCell ref="C259:F259"/>
    <mergeCell ref="G259:H259"/>
    <mergeCell ref="I259:J259"/>
    <mergeCell ref="C260:F260"/>
    <mergeCell ref="G260:H260"/>
    <mergeCell ref="I260:J260"/>
    <mergeCell ref="C257:F257"/>
    <mergeCell ref="G257:H257"/>
    <mergeCell ref="I257:J257"/>
    <mergeCell ref="C258:F258"/>
    <mergeCell ref="G258:H258"/>
    <mergeCell ref="I258:J258"/>
    <mergeCell ref="C267:F267"/>
    <mergeCell ref="G267:H267"/>
    <mergeCell ref="I267:J267"/>
    <mergeCell ref="C268:F268"/>
    <mergeCell ref="G268:H268"/>
    <mergeCell ref="I268:J268"/>
    <mergeCell ref="C265:F265"/>
    <mergeCell ref="G265:H265"/>
    <mergeCell ref="I265:J265"/>
    <mergeCell ref="C266:F266"/>
    <mergeCell ref="G266:H266"/>
    <mergeCell ref="I266:J266"/>
    <mergeCell ref="C263:F263"/>
    <mergeCell ref="G263:H263"/>
    <mergeCell ref="I263:J263"/>
    <mergeCell ref="C264:F264"/>
    <mergeCell ref="G264:H264"/>
    <mergeCell ref="I264:J264"/>
    <mergeCell ref="C273:F273"/>
    <mergeCell ref="G273:H273"/>
    <mergeCell ref="I273:J273"/>
    <mergeCell ref="C274:F274"/>
    <mergeCell ref="G274:H274"/>
    <mergeCell ref="I274:J274"/>
    <mergeCell ref="C271:F271"/>
    <mergeCell ref="G271:H271"/>
    <mergeCell ref="I271:J271"/>
    <mergeCell ref="C272:F272"/>
    <mergeCell ref="G272:H272"/>
    <mergeCell ref="I272:J272"/>
    <mergeCell ref="C269:F269"/>
    <mergeCell ref="G269:H269"/>
    <mergeCell ref="I269:J269"/>
    <mergeCell ref="C270:F270"/>
    <mergeCell ref="G270:H270"/>
    <mergeCell ref="I270:J270"/>
    <mergeCell ref="C279:F279"/>
    <mergeCell ref="G279:H279"/>
    <mergeCell ref="I279:J279"/>
    <mergeCell ref="C280:F280"/>
    <mergeCell ref="G280:H280"/>
    <mergeCell ref="I280:J280"/>
    <mergeCell ref="C277:F277"/>
    <mergeCell ref="G277:H277"/>
    <mergeCell ref="I277:J277"/>
    <mergeCell ref="C278:F278"/>
    <mergeCell ref="G278:H278"/>
    <mergeCell ref="I278:J278"/>
    <mergeCell ref="C275:F275"/>
    <mergeCell ref="G275:H275"/>
    <mergeCell ref="I275:J275"/>
    <mergeCell ref="C276:F276"/>
    <mergeCell ref="G276:H276"/>
    <mergeCell ref="I276:J276"/>
    <mergeCell ref="C293:F293"/>
    <mergeCell ref="G293:H293"/>
    <mergeCell ref="I293:J293"/>
    <mergeCell ref="C294:F294"/>
    <mergeCell ref="G294:H294"/>
    <mergeCell ref="I294:J294"/>
    <mergeCell ref="A286:G286"/>
    <mergeCell ref="A288:C288"/>
    <mergeCell ref="A290:C290"/>
    <mergeCell ref="E290:I290"/>
    <mergeCell ref="C292:F292"/>
    <mergeCell ref="G292:H292"/>
    <mergeCell ref="I292:J292"/>
    <mergeCell ref="C281:F281"/>
    <mergeCell ref="G281:H281"/>
    <mergeCell ref="I281:J281"/>
    <mergeCell ref="C282:F282"/>
    <mergeCell ref="G282:H282"/>
    <mergeCell ref="I282:J282"/>
    <mergeCell ref="C299:F299"/>
    <mergeCell ref="G299:H299"/>
    <mergeCell ref="I299:J299"/>
    <mergeCell ref="C300:F300"/>
    <mergeCell ref="G300:H300"/>
    <mergeCell ref="I300:J300"/>
    <mergeCell ref="C297:F297"/>
    <mergeCell ref="G297:H297"/>
    <mergeCell ref="I297:J297"/>
    <mergeCell ref="C298:F298"/>
    <mergeCell ref="G298:H298"/>
    <mergeCell ref="I298:J298"/>
    <mergeCell ref="C295:F295"/>
    <mergeCell ref="G295:H295"/>
    <mergeCell ref="I295:J295"/>
    <mergeCell ref="C296:F296"/>
    <mergeCell ref="G296:H296"/>
    <mergeCell ref="I296:J296"/>
    <mergeCell ref="C305:F305"/>
    <mergeCell ref="G305:H305"/>
    <mergeCell ref="I305:J305"/>
    <mergeCell ref="C306:F306"/>
    <mergeCell ref="G306:H306"/>
    <mergeCell ref="I306:J306"/>
    <mergeCell ref="C303:F303"/>
    <mergeCell ref="G303:H303"/>
    <mergeCell ref="I303:J303"/>
    <mergeCell ref="C304:F304"/>
    <mergeCell ref="G304:H304"/>
    <mergeCell ref="I304:J304"/>
    <mergeCell ref="C301:F301"/>
    <mergeCell ref="G301:H301"/>
    <mergeCell ref="I301:J301"/>
    <mergeCell ref="C302:F302"/>
    <mergeCell ref="G302:H302"/>
    <mergeCell ref="I302:J302"/>
    <mergeCell ref="C311:F311"/>
    <mergeCell ref="G311:H311"/>
    <mergeCell ref="I311:J311"/>
    <mergeCell ref="C312:F312"/>
    <mergeCell ref="G312:H312"/>
    <mergeCell ref="I312:J312"/>
    <mergeCell ref="C309:F309"/>
    <mergeCell ref="G309:H309"/>
    <mergeCell ref="I309:J309"/>
    <mergeCell ref="C310:F310"/>
    <mergeCell ref="G310:H310"/>
    <mergeCell ref="I310:J310"/>
    <mergeCell ref="C307:F307"/>
    <mergeCell ref="G307:H307"/>
    <mergeCell ref="I307:J307"/>
    <mergeCell ref="C308:F308"/>
    <mergeCell ref="G308:H308"/>
    <mergeCell ref="I308:J308"/>
    <mergeCell ref="C317:F317"/>
    <mergeCell ref="G317:H317"/>
    <mergeCell ref="I317:J317"/>
    <mergeCell ref="C318:F318"/>
    <mergeCell ref="G318:H318"/>
    <mergeCell ref="I318:J318"/>
    <mergeCell ref="C315:F315"/>
    <mergeCell ref="G315:H315"/>
    <mergeCell ref="I315:J315"/>
    <mergeCell ref="C316:F316"/>
    <mergeCell ref="G316:H316"/>
    <mergeCell ref="I316:J316"/>
    <mergeCell ref="C313:F313"/>
    <mergeCell ref="G313:H313"/>
    <mergeCell ref="I313:J313"/>
    <mergeCell ref="C314:F314"/>
    <mergeCell ref="G314:H314"/>
    <mergeCell ref="I314:J314"/>
    <mergeCell ref="C323:F323"/>
    <mergeCell ref="G323:H323"/>
    <mergeCell ref="I323:J323"/>
    <mergeCell ref="C324:F324"/>
    <mergeCell ref="G324:H324"/>
    <mergeCell ref="I324:J324"/>
    <mergeCell ref="C321:F321"/>
    <mergeCell ref="G321:H321"/>
    <mergeCell ref="I321:J321"/>
    <mergeCell ref="C322:F322"/>
    <mergeCell ref="G322:H322"/>
    <mergeCell ref="I322:J322"/>
    <mergeCell ref="C319:F319"/>
    <mergeCell ref="G319:H319"/>
    <mergeCell ref="I319:J319"/>
    <mergeCell ref="C320:F320"/>
    <mergeCell ref="G320:H320"/>
    <mergeCell ref="I320:J320"/>
    <mergeCell ref="C329:F329"/>
    <mergeCell ref="G329:H329"/>
    <mergeCell ref="I329:J329"/>
    <mergeCell ref="C330:F330"/>
    <mergeCell ref="G330:H330"/>
    <mergeCell ref="I330:J330"/>
    <mergeCell ref="C327:F327"/>
    <mergeCell ref="G327:H327"/>
    <mergeCell ref="I327:J327"/>
    <mergeCell ref="C328:F328"/>
    <mergeCell ref="G328:H328"/>
    <mergeCell ref="I328:J328"/>
    <mergeCell ref="C325:F325"/>
    <mergeCell ref="G325:H325"/>
    <mergeCell ref="I325:J325"/>
    <mergeCell ref="C326:F326"/>
    <mergeCell ref="G326:H326"/>
    <mergeCell ref="I326:J326"/>
    <mergeCell ref="A338:G338"/>
    <mergeCell ref="A340:C340"/>
    <mergeCell ref="A342:C342"/>
    <mergeCell ref="E342:I342"/>
    <mergeCell ref="C344:F344"/>
    <mergeCell ref="G344:H344"/>
    <mergeCell ref="I344:J344"/>
    <mergeCell ref="C333:F333"/>
    <mergeCell ref="G333:H333"/>
    <mergeCell ref="I333:J333"/>
    <mergeCell ref="C334:F334"/>
    <mergeCell ref="G334:H334"/>
    <mergeCell ref="I334:J334"/>
    <mergeCell ref="C331:F331"/>
    <mergeCell ref="G331:H331"/>
    <mergeCell ref="I331:J331"/>
    <mergeCell ref="C332:F332"/>
    <mergeCell ref="G332:H332"/>
    <mergeCell ref="I332:J332"/>
    <mergeCell ref="C349:F349"/>
    <mergeCell ref="G349:H349"/>
    <mergeCell ref="I349:J349"/>
    <mergeCell ref="C350:F350"/>
    <mergeCell ref="G350:H350"/>
    <mergeCell ref="I350:J350"/>
    <mergeCell ref="C347:F347"/>
    <mergeCell ref="G347:H347"/>
    <mergeCell ref="I347:J347"/>
    <mergeCell ref="C348:F348"/>
    <mergeCell ref="G348:H348"/>
    <mergeCell ref="I348:J348"/>
    <mergeCell ref="C345:F345"/>
    <mergeCell ref="G345:H345"/>
    <mergeCell ref="I345:J345"/>
    <mergeCell ref="C346:F346"/>
    <mergeCell ref="G346:H346"/>
    <mergeCell ref="I346:J346"/>
    <mergeCell ref="C355:F355"/>
    <mergeCell ref="G355:H355"/>
    <mergeCell ref="I355:J355"/>
    <mergeCell ref="C356:F356"/>
    <mergeCell ref="G356:H356"/>
    <mergeCell ref="I356:J356"/>
    <mergeCell ref="C353:F353"/>
    <mergeCell ref="G353:H353"/>
    <mergeCell ref="I353:J353"/>
    <mergeCell ref="C354:F354"/>
    <mergeCell ref="G354:H354"/>
    <mergeCell ref="I354:J354"/>
    <mergeCell ref="C351:F351"/>
    <mergeCell ref="G351:H351"/>
    <mergeCell ref="I351:J351"/>
    <mergeCell ref="C352:F352"/>
    <mergeCell ref="G352:H352"/>
    <mergeCell ref="I352:J352"/>
    <mergeCell ref="C361:F361"/>
    <mergeCell ref="G361:H361"/>
    <mergeCell ref="I361:J361"/>
    <mergeCell ref="C362:F362"/>
    <mergeCell ref="G362:H362"/>
    <mergeCell ref="I362:J362"/>
    <mergeCell ref="C359:F359"/>
    <mergeCell ref="G359:H359"/>
    <mergeCell ref="I359:J359"/>
    <mergeCell ref="C360:F360"/>
    <mergeCell ref="G360:H360"/>
    <mergeCell ref="I360:J360"/>
    <mergeCell ref="C357:F357"/>
    <mergeCell ref="G357:H357"/>
    <mergeCell ref="I357:J357"/>
    <mergeCell ref="C358:F358"/>
    <mergeCell ref="G358:H358"/>
    <mergeCell ref="I358:J358"/>
    <mergeCell ref="C367:F367"/>
    <mergeCell ref="G367:H367"/>
    <mergeCell ref="I367:J367"/>
    <mergeCell ref="C368:F368"/>
    <mergeCell ref="G368:H368"/>
    <mergeCell ref="I368:J368"/>
    <mergeCell ref="C365:F365"/>
    <mergeCell ref="G365:H365"/>
    <mergeCell ref="I365:J365"/>
    <mergeCell ref="C366:F366"/>
    <mergeCell ref="G366:H366"/>
    <mergeCell ref="I366:J366"/>
    <mergeCell ref="C363:F363"/>
    <mergeCell ref="G363:H363"/>
    <mergeCell ref="I363:J363"/>
    <mergeCell ref="C364:F364"/>
    <mergeCell ref="G364:H364"/>
    <mergeCell ref="I364:J364"/>
    <mergeCell ref="C373:F373"/>
    <mergeCell ref="G373:H373"/>
    <mergeCell ref="I373:J373"/>
    <mergeCell ref="C374:F374"/>
    <mergeCell ref="G374:H374"/>
    <mergeCell ref="I374:J374"/>
    <mergeCell ref="C371:F371"/>
    <mergeCell ref="G371:H371"/>
    <mergeCell ref="I371:J371"/>
    <mergeCell ref="C372:F372"/>
    <mergeCell ref="G372:H372"/>
    <mergeCell ref="I372:J372"/>
    <mergeCell ref="C369:F369"/>
    <mergeCell ref="G369:H369"/>
    <mergeCell ref="I369:J369"/>
    <mergeCell ref="C370:F370"/>
    <mergeCell ref="G370:H370"/>
    <mergeCell ref="I370:J370"/>
    <mergeCell ref="C379:F379"/>
    <mergeCell ref="G379:H379"/>
    <mergeCell ref="I379:J379"/>
    <mergeCell ref="C380:F380"/>
    <mergeCell ref="G380:H380"/>
    <mergeCell ref="I380:J380"/>
    <mergeCell ref="C377:F377"/>
    <mergeCell ref="G377:H377"/>
    <mergeCell ref="I377:J377"/>
    <mergeCell ref="C378:F378"/>
    <mergeCell ref="G378:H378"/>
    <mergeCell ref="I378:J378"/>
    <mergeCell ref="C375:F375"/>
    <mergeCell ref="G375:H375"/>
    <mergeCell ref="I375:J375"/>
    <mergeCell ref="C376:F376"/>
    <mergeCell ref="G376:H376"/>
    <mergeCell ref="I376:J376"/>
    <mergeCell ref="C385:F385"/>
    <mergeCell ref="G385:H385"/>
    <mergeCell ref="I385:J385"/>
    <mergeCell ref="C386:F386"/>
    <mergeCell ref="G386:H386"/>
    <mergeCell ref="I386:J386"/>
    <mergeCell ref="C383:F383"/>
    <mergeCell ref="G383:H383"/>
    <mergeCell ref="I383:J383"/>
    <mergeCell ref="C384:F384"/>
    <mergeCell ref="G384:H384"/>
    <mergeCell ref="I384:J384"/>
    <mergeCell ref="C381:F381"/>
    <mergeCell ref="G381:H381"/>
    <mergeCell ref="I381:J381"/>
    <mergeCell ref="C382:F382"/>
    <mergeCell ref="G382:H382"/>
    <mergeCell ref="I382:J382"/>
    <mergeCell ref="C391:F391"/>
    <mergeCell ref="G391:H391"/>
    <mergeCell ref="I391:J391"/>
    <mergeCell ref="C392:F392"/>
    <mergeCell ref="G392:H392"/>
    <mergeCell ref="I392:J392"/>
    <mergeCell ref="C389:F389"/>
    <mergeCell ref="G389:H389"/>
    <mergeCell ref="I389:J389"/>
    <mergeCell ref="C390:F390"/>
    <mergeCell ref="G390:H390"/>
    <mergeCell ref="I390:J390"/>
    <mergeCell ref="C387:F387"/>
    <mergeCell ref="G387:H387"/>
    <mergeCell ref="I387:J387"/>
    <mergeCell ref="C388:F388"/>
    <mergeCell ref="G388:H388"/>
    <mergeCell ref="I388:J388"/>
    <mergeCell ref="C397:F397"/>
    <mergeCell ref="G397:H397"/>
    <mergeCell ref="I397:J397"/>
    <mergeCell ref="C398:F398"/>
    <mergeCell ref="G398:H398"/>
    <mergeCell ref="I398:J398"/>
    <mergeCell ref="C395:F395"/>
    <mergeCell ref="G395:H395"/>
    <mergeCell ref="I395:J395"/>
    <mergeCell ref="C396:F396"/>
    <mergeCell ref="G396:H396"/>
    <mergeCell ref="I396:J396"/>
    <mergeCell ref="C393:F393"/>
    <mergeCell ref="G393:H393"/>
    <mergeCell ref="I393:J393"/>
    <mergeCell ref="C394:F394"/>
    <mergeCell ref="G394:H394"/>
    <mergeCell ref="I394:J394"/>
    <mergeCell ref="C411:F411"/>
    <mergeCell ref="G411:H411"/>
    <mergeCell ref="I411:J411"/>
    <mergeCell ref="C412:F412"/>
    <mergeCell ref="G412:H412"/>
    <mergeCell ref="I412:J412"/>
    <mergeCell ref="C409:F409"/>
    <mergeCell ref="G409:H409"/>
    <mergeCell ref="I409:J409"/>
    <mergeCell ref="C410:F410"/>
    <mergeCell ref="G410:H410"/>
    <mergeCell ref="I410:J410"/>
    <mergeCell ref="A402:G402"/>
    <mergeCell ref="A404:C404"/>
    <mergeCell ref="A406:C406"/>
    <mergeCell ref="E406:I406"/>
    <mergeCell ref="C408:F408"/>
    <mergeCell ref="G408:H408"/>
    <mergeCell ref="I408:J408"/>
    <mergeCell ref="C417:F417"/>
    <mergeCell ref="G417:H417"/>
    <mergeCell ref="I417:J417"/>
    <mergeCell ref="C418:F418"/>
    <mergeCell ref="G418:H418"/>
    <mergeCell ref="I418:J418"/>
    <mergeCell ref="C415:F415"/>
    <mergeCell ref="G415:H415"/>
    <mergeCell ref="I415:J415"/>
    <mergeCell ref="C416:F416"/>
    <mergeCell ref="G416:H416"/>
    <mergeCell ref="I416:J416"/>
    <mergeCell ref="C413:F413"/>
    <mergeCell ref="G413:H413"/>
    <mergeCell ref="I413:J413"/>
    <mergeCell ref="C414:F414"/>
    <mergeCell ref="G414:H414"/>
    <mergeCell ref="I414:J414"/>
    <mergeCell ref="C423:F423"/>
    <mergeCell ref="G423:H423"/>
    <mergeCell ref="I423:J423"/>
    <mergeCell ref="C424:F424"/>
    <mergeCell ref="G424:H424"/>
    <mergeCell ref="I424:J424"/>
    <mergeCell ref="C421:F421"/>
    <mergeCell ref="G421:H421"/>
    <mergeCell ref="I421:J421"/>
    <mergeCell ref="C422:F422"/>
    <mergeCell ref="G422:H422"/>
    <mergeCell ref="I422:J422"/>
    <mergeCell ref="C419:F419"/>
    <mergeCell ref="G419:H419"/>
    <mergeCell ref="I419:J419"/>
    <mergeCell ref="C420:F420"/>
    <mergeCell ref="G420:H420"/>
    <mergeCell ref="I420:J420"/>
    <mergeCell ref="C429:F429"/>
    <mergeCell ref="G429:H429"/>
    <mergeCell ref="I429:J429"/>
    <mergeCell ref="C430:F430"/>
    <mergeCell ref="G430:H430"/>
    <mergeCell ref="I430:J430"/>
    <mergeCell ref="C427:F427"/>
    <mergeCell ref="G427:H427"/>
    <mergeCell ref="I427:J427"/>
    <mergeCell ref="C428:F428"/>
    <mergeCell ref="G428:H428"/>
    <mergeCell ref="I428:J428"/>
    <mergeCell ref="C425:F425"/>
    <mergeCell ref="G425:H425"/>
    <mergeCell ref="I425:J425"/>
    <mergeCell ref="C426:F426"/>
    <mergeCell ref="G426:H426"/>
    <mergeCell ref="I426:J426"/>
    <mergeCell ref="C435:F435"/>
    <mergeCell ref="G435:H435"/>
    <mergeCell ref="I435:J435"/>
    <mergeCell ref="C436:F436"/>
    <mergeCell ref="G436:H436"/>
    <mergeCell ref="I436:J436"/>
    <mergeCell ref="C433:F433"/>
    <mergeCell ref="G433:H433"/>
    <mergeCell ref="I433:J433"/>
    <mergeCell ref="C434:F434"/>
    <mergeCell ref="G434:H434"/>
    <mergeCell ref="I434:J434"/>
    <mergeCell ref="C431:F431"/>
    <mergeCell ref="G431:H431"/>
    <mergeCell ref="I431:J431"/>
    <mergeCell ref="C432:F432"/>
    <mergeCell ref="G432:H432"/>
    <mergeCell ref="I432:J432"/>
    <mergeCell ref="C446:F446"/>
    <mergeCell ref="G446:H446"/>
    <mergeCell ref="I446:J446"/>
    <mergeCell ref="C447:F447"/>
    <mergeCell ref="G447:H447"/>
    <mergeCell ref="I447:J447"/>
    <mergeCell ref="A442:G442"/>
    <mergeCell ref="A443:C443"/>
    <mergeCell ref="A444:C444"/>
    <mergeCell ref="E444:I444"/>
    <mergeCell ref="C445:F445"/>
    <mergeCell ref="G445:H445"/>
    <mergeCell ref="I445:J445"/>
    <mergeCell ref="C437:F437"/>
    <mergeCell ref="G437:H437"/>
    <mergeCell ref="I437:J437"/>
    <mergeCell ref="C438:F438"/>
    <mergeCell ref="G438:H438"/>
    <mergeCell ref="I438:J438"/>
    <mergeCell ref="C452:F452"/>
    <mergeCell ref="G452:H452"/>
    <mergeCell ref="I452:J452"/>
    <mergeCell ref="C453:F453"/>
    <mergeCell ref="G453:H453"/>
    <mergeCell ref="I453:J453"/>
    <mergeCell ref="C450:F450"/>
    <mergeCell ref="G450:H450"/>
    <mergeCell ref="I450:J450"/>
    <mergeCell ref="C451:F451"/>
    <mergeCell ref="G451:H451"/>
    <mergeCell ref="I451:J451"/>
    <mergeCell ref="C448:F448"/>
    <mergeCell ref="G448:H448"/>
    <mergeCell ref="I448:J448"/>
    <mergeCell ref="C449:F449"/>
    <mergeCell ref="G449:H449"/>
    <mergeCell ref="I449:J449"/>
    <mergeCell ref="C458:F458"/>
    <mergeCell ref="G458:H458"/>
    <mergeCell ref="I458:J458"/>
    <mergeCell ref="C459:F459"/>
    <mergeCell ref="G459:H459"/>
    <mergeCell ref="I459:J459"/>
    <mergeCell ref="C456:F456"/>
    <mergeCell ref="G456:H456"/>
    <mergeCell ref="I456:J456"/>
    <mergeCell ref="C457:F457"/>
    <mergeCell ref="G457:H457"/>
    <mergeCell ref="I457:J457"/>
    <mergeCell ref="C454:F454"/>
    <mergeCell ref="G454:H454"/>
    <mergeCell ref="I454:J454"/>
    <mergeCell ref="C455:F455"/>
    <mergeCell ref="G455:H455"/>
    <mergeCell ref="I455:J455"/>
    <mergeCell ref="C464:F464"/>
    <mergeCell ref="G464:H464"/>
    <mergeCell ref="I464:J464"/>
    <mergeCell ref="C465:F465"/>
    <mergeCell ref="G465:H465"/>
    <mergeCell ref="I465:J465"/>
    <mergeCell ref="C462:F462"/>
    <mergeCell ref="G462:H462"/>
    <mergeCell ref="I462:J462"/>
    <mergeCell ref="C463:F463"/>
    <mergeCell ref="G463:H463"/>
    <mergeCell ref="I463:J463"/>
    <mergeCell ref="C460:F460"/>
    <mergeCell ref="G460:H460"/>
    <mergeCell ref="I460:J460"/>
    <mergeCell ref="C461:F461"/>
    <mergeCell ref="G461:H461"/>
    <mergeCell ref="I461:J461"/>
    <mergeCell ref="C470:F470"/>
    <mergeCell ref="G470:H470"/>
    <mergeCell ref="I470:J470"/>
    <mergeCell ref="C471:F471"/>
    <mergeCell ref="G471:H471"/>
    <mergeCell ref="I471:J471"/>
    <mergeCell ref="C468:F468"/>
    <mergeCell ref="G468:H468"/>
    <mergeCell ref="I468:J468"/>
    <mergeCell ref="C469:F469"/>
    <mergeCell ref="G469:H469"/>
    <mergeCell ref="I469:J469"/>
    <mergeCell ref="C466:F466"/>
    <mergeCell ref="G466:H466"/>
    <mergeCell ref="I466:J466"/>
    <mergeCell ref="C467:F467"/>
    <mergeCell ref="G467:H467"/>
    <mergeCell ref="I467:J467"/>
    <mergeCell ref="C484:F484"/>
    <mergeCell ref="G484:H484"/>
    <mergeCell ref="I484:J484"/>
    <mergeCell ref="C485:F485"/>
    <mergeCell ref="G485:H485"/>
    <mergeCell ref="I485:J485"/>
    <mergeCell ref="C482:F482"/>
    <mergeCell ref="G482:H482"/>
    <mergeCell ref="I482:J482"/>
    <mergeCell ref="C483:F483"/>
    <mergeCell ref="G483:H483"/>
    <mergeCell ref="I483:J483"/>
    <mergeCell ref="C472:F472"/>
    <mergeCell ref="G472:H472"/>
    <mergeCell ref="I472:J472"/>
    <mergeCell ref="A476:G476"/>
    <mergeCell ref="A478:C478"/>
    <mergeCell ref="A480:C480"/>
    <mergeCell ref="E480:I480"/>
    <mergeCell ref="C490:F490"/>
    <mergeCell ref="G490:H490"/>
    <mergeCell ref="I490:J490"/>
    <mergeCell ref="C491:F491"/>
    <mergeCell ref="G491:H491"/>
    <mergeCell ref="I491:J491"/>
    <mergeCell ref="C488:F488"/>
    <mergeCell ref="G488:H488"/>
    <mergeCell ref="I488:J488"/>
    <mergeCell ref="C489:F489"/>
    <mergeCell ref="G489:H489"/>
    <mergeCell ref="I489:J489"/>
    <mergeCell ref="C486:F486"/>
    <mergeCell ref="G486:H486"/>
    <mergeCell ref="I486:J486"/>
    <mergeCell ref="C487:F487"/>
    <mergeCell ref="G487:H487"/>
    <mergeCell ref="I487:J487"/>
    <mergeCell ref="C496:F496"/>
    <mergeCell ref="G496:H496"/>
    <mergeCell ref="I496:J496"/>
    <mergeCell ref="C497:F497"/>
    <mergeCell ref="G497:H497"/>
    <mergeCell ref="I497:J497"/>
    <mergeCell ref="C494:F494"/>
    <mergeCell ref="G494:H494"/>
    <mergeCell ref="I494:J494"/>
    <mergeCell ref="C495:F495"/>
    <mergeCell ref="G495:H495"/>
    <mergeCell ref="I495:J495"/>
    <mergeCell ref="C492:F492"/>
    <mergeCell ref="G492:H492"/>
    <mergeCell ref="I492:J492"/>
    <mergeCell ref="C493:F493"/>
    <mergeCell ref="G493:H493"/>
    <mergeCell ref="I493:J493"/>
    <mergeCell ref="C502:F502"/>
    <mergeCell ref="G502:H502"/>
    <mergeCell ref="I502:J502"/>
    <mergeCell ref="C503:F503"/>
    <mergeCell ref="G503:H503"/>
    <mergeCell ref="I503:J503"/>
    <mergeCell ref="C500:F500"/>
    <mergeCell ref="G500:H500"/>
    <mergeCell ref="I500:J500"/>
    <mergeCell ref="C501:F501"/>
    <mergeCell ref="G501:H501"/>
    <mergeCell ref="I501:J501"/>
    <mergeCell ref="C498:F498"/>
    <mergeCell ref="G498:H498"/>
    <mergeCell ref="I498:J498"/>
    <mergeCell ref="C499:F499"/>
    <mergeCell ref="G499:H499"/>
    <mergeCell ref="I499:J499"/>
    <mergeCell ref="C508:F508"/>
    <mergeCell ref="G508:H508"/>
    <mergeCell ref="I508:J508"/>
    <mergeCell ref="C509:F509"/>
    <mergeCell ref="G509:H509"/>
    <mergeCell ref="I509:J509"/>
    <mergeCell ref="C506:F506"/>
    <mergeCell ref="G506:H506"/>
    <mergeCell ref="I506:J506"/>
    <mergeCell ref="C507:F507"/>
    <mergeCell ref="G507:H507"/>
    <mergeCell ref="I507:J507"/>
    <mergeCell ref="C504:F504"/>
    <mergeCell ref="G504:H504"/>
    <mergeCell ref="I504:J504"/>
    <mergeCell ref="C505:F505"/>
    <mergeCell ref="G505:H505"/>
    <mergeCell ref="I505:J505"/>
    <mergeCell ref="C514:F514"/>
    <mergeCell ref="G514:H514"/>
    <mergeCell ref="I514:J514"/>
    <mergeCell ref="C515:F515"/>
    <mergeCell ref="G515:H515"/>
    <mergeCell ref="I515:J515"/>
    <mergeCell ref="C512:F512"/>
    <mergeCell ref="G512:H512"/>
    <mergeCell ref="I512:J512"/>
    <mergeCell ref="C513:F513"/>
    <mergeCell ref="G513:H513"/>
    <mergeCell ref="I513:J513"/>
    <mergeCell ref="C510:F510"/>
    <mergeCell ref="G510:H510"/>
    <mergeCell ref="I510:J510"/>
    <mergeCell ref="C511:F511"/>
    <mergeCell ref="G511:H511"/>
    <mergeCell ref="I511:J511"/>
    <mergeCell ref="C520:F520"/>
    <mergeCell ref="G520:H520"/>
    <mergeCell ref="I520:J520"/>
    <mergeCell ref="C521:F521"/>
    <mergeCell ref="G521:H521"/>
    <mergeCell ref="I521:J521"/>
    <mergeCell ref="C518:F518"/>
    <mergeCell ref="G518:H518"/>
    <mergeCell ref="I518:J518"/>
    <mergeCell ref="C519:F519"/>
    <mergeCell ref="G519:H519"/>
    <mergeCell ref="I519:J519"/>
    <mergeCell ref="C516:F516"/>
    <mergeCell ref="G516:H516"/>
    <mergeCell ref="I516:J516"/>
    <mergeCell ref="C517:F517"/>
    <mergeCell ref="G517:H517"/>
    <mergeCell ref="I517:J517"/>
    <mergeCell ref="C526:F526"/>
    <mergeCell ref="G526:H526"/>
    <mergeCell ref="I526:J526"/>
    <mergeCell ref="C527:F527"/>
    <mergeCell ref="G527:H527"/>
    <mergeCell ref="I527:J527"/>
    <mergeCell ref="C524:F524"/>
    <mergeCell ref="G524:H524"/>
    <mergeCell ref="I524:J524"/>
    <mergeCell ref="C525:F525"/>
    <mergeCell ref="G525:H525"/>
    <mergeCell ref="I525:J525"/>
    <mergeCell ref="C522:F522"/>
    <mergeCell ref="G522:H522"/>
    <mergeCell ref="I522:J522"/>
    <mergeCell ref="C523:F523"/>
    <mergeCell ref="G523:H523"/>
    <mergeCell ref="I523:J523"/>
    <mergeCell ref="C532:F532"/>
    <mergeCell ref="G532:H532"/>
    <mergeCell ref="I532:J532"/>
    <mergeCell ref="C533:F533"/>
    <mergeCell ref="G533:H533"/>
    <mergeCell ref="I533:J533"/>
    <mergeCell ref="C530:F530"/>
    <mergeCell ref="G530:H530"/>
    <mergeCell ref="I530:J530"/>
    <mergeCell ref="C531:F531"/>
    <mergeCell ref="G531:H531"/>
    <mergeCell ref="I531:J531"/>
    <mergeCell ref="C528:F528"/>
    <mergeCell ref="G528:H528"/>
    <mergeCell ref="I528:J528"/>
    <mergeCell ref="C529:F529"/>
    <mergeCell ref="G529:H529"/>
    <mergeCell ref="I529:J529"/>
    <mergeCell ref="C548:F548"/>
    <mergeCell ref="G548:H548"/>
    <mergeCell ref="I548:J548"/>
    <mergeCell ref="C549:F549"/>
    <mergeCell ref="G549:H549"/>
    <mergeCell ref="I549:J549"/>
    <mergeCell ref="C546:F546"/>
    <mergeCell ref="G546:H546"/>
    <mergeCell ref="I546:J546"/>
    <mergeCell ref="C547:F547"/>
    <mergeCell ref="G547:H547"/>
    <mergeCell ref="I547:J547"/>
    <mergeCell ref="A539:G539"/>
    <mergeCell ref="A541:C541"/>
    <mergeCell ref="A543:C543"/>
    <mergeCell ref="E543:I543"/>
    <mergeCell ref="C545:F545"/>
    <mergeCell ref="G545:H545"/>
    <mergeCell ref="I545:J545"/>
    <mergeCell ref="C556:F556"/>
    <mergeCell ref="G556:H556"/>
    <mergeCell ref="I556:J556"/>
    <mergeCell ref="C557:F557"/>
    <mergeCell ref="G557:H557"/>
    <mergeCell ref="I557:J557"/>
    <mergeCell ref="C554:F554"/>
    <mergeCell ref="G554:H554"/>
    <mergeCell ref="I554:J554"/>
    <mergeCell ref="C555:F555"/>
    <mergeCell ref="G555:H555"/>
    <mergeCell ref="I555:J555"/>
    <mergeCell ref="C550:F550"/>
    <mergeCell ref="G550:H550"/>
    <mergeCell ref="I550:J550"/>
    <mergeCell ref="C551:F551"/>
    <mergeCell ref="G551:H551"/>
    <mergeCell ref="I551:J551"/>
    <mergeCell ref="C562:F562"/>
    <mergeCell ref="G562:H562"/>
    <mergeCell ref="I562:J562"/>
    <mergeCell ref="C563:F563"/>
    <mergeCell ref="G563:H563"/>
    <mergeCell ref="I563:J563"/>
    <mergeCell ref="C560:F560"/>
    <mergeCell ref="G560:H560"/>
    <mergeCell ref="I560:J560"/>
    <mergeCell ref="C561:F561"/>
    <mergeCell ref="G561:H561"/>
    <mergeCell ref="I561:J561"/>
    <mergeCell ref="C558:F558"/>
    <mergeCell ref="G558:H558"/>
    <mergeCell ref="I558:J558"/>
    <mergeCell ref="C559:F559"/>
    <mergeCell ref="G559:H559"/>
    <mergeCell ref="I559:J559"/>
    <mergeCell ref="C568:F568"/>
    <mergeCell ref="G568:H568"/>
    <mergeCell ref="I568:J568"/>
    <mergeCell ref="C569:F569"/>
    <mergeCell ref="G569:H569"/>
    <mergeCell ref="I569:J569"/>
    <mergeCell ref="C566:F566"/>
    <mergeCell ref="G566:H566"/>
    <mergeCell ref="I566:J566"/>
    <mergeCell ref="C567:F567"/>
    <mergeCell ref="G567:H567"/>
    <mergeCell ref="I567:J567"/>
    <mergeCell ref="C564:F564"/>
    <mergeCell ref="G564:H564"/>
    <mergeCell ref="I564:J564"/>
    <mergeCell ref="C565:F565"/>
    <mergeCell ref="G565:H565"/>
    <mergeCell ref="I565:J565"/>
    <mergeCell ref="C574:F574"/>
    <mergeCell ref="G574:H574"/>
    <mergeCell ref="I574:J574"/>
    <mergeCell ref="C575:F575"/>
    <mergeCell ref="G575:H575"/>
    <mergeCell ref="I575:J575"/>
    <mergeCell ref="C572:F572"/>
    <mergeCell ref="G572:H572"/>
    <mergeCell ref="I572:J572"/>
    <mergeCell ref="C573:F573"/>
    <mergeCell ref="G573:H573"/>
    <mergeCell ref="I573:J573"/>
    <mergeCell ref="C570:F570"/>
    <mergeCell ref="G570:H570"/>
    <mergeCell ref="I570:J570"/>
    <mergeCell ref="C571:F571"/>
    <mergeCell ref="G571:H571"/>
    <mergeCell ref="I571:J571"/>
    <mergeCell ref="C580:F580"/>
    <mergeCell ref="G580:H580"/>
    <mergeCell ref="I580:J580"/>
    <mergeCell ref="C581:F581"/>
    <mergeCell ref="G581:H581"/>
    <mergeCell ref="I581:J581"/>
    <mergeCell ref="C578:F578"/>
    <mergeCell ref="G578:H578"/>
    <mergeCell ref="I578:J578"/>
    <mergeCell ref="C579:F579"/>
    <mergeCell ref="G579:H579"/>
    <mergeCell ref="I579:J579"/>
    <mergeCell ref="C576:F576"/>
    <mergeCell ref="G576:H576"/>
    <mergeCell ref="I576:J576"/>
    <mergeCell ref="C577:F577"/>
    <mergeCell ref="G577:H577"/>
    <mergeCell ref="I577:J577"/>
    <mergeCell ref="C586:F586"/>
    <mergeCell ref="G586:H586"/>
    <mergeCell ref="I586:J586"/>
    <mergeCell ref="C587:F587"/>
    <mergeCell ref="G587:H587"/>
    <mergeCell ref="I587:J587"/>
    <mergeCell ref="C584:F584"/>
    <mergeCell ref="G584:H584"/>
    <mergeCell ref="I584:J584"/>
    <mergeCell ref="C585:F585"/>
    <mergeCell ref="G585:H585"/>
    <mergeCell ref="I585:J585"/>
    <mergeCell ref="C582:F582"/>
    <mergeCell ref="G582:H582"/>
    <mergeCell ref="I582:J582"/>
    <mergeCell ref="C583:F583"/>
    <mergeCell ref="G583:H583"/>
    <mergeCell ref="I583:J583"/>
    <mergeCell ref="D599:G599"/>
    <mergeCell ref="H599:I599"/>
    <mergeCell ref="J599:K599"/>
    <mergeCell ref="D600:G600"/>
    <mergeCell ref="H600:I600"/>
    <mergeCell ref="J600:K600"/>
    <mergeCell ref="D597:G597"/>
    <mergeCell ref="H597:I597"/>
    <mergeCell ref="J597:K597"/>
    <mergeCell ref="D598:G598"/>
    <mergeCell ref="H598:I598"/>
    <mergeCell ref="J598:K598"/>
    <mergeCell ref="B590:H590"/>
    <mergeCell ref="B592:D592"/>
    <mergeCell ref="B594:D594"/>
    <mergeCell ref="F594:J594"/>
    <mergeCell ref="D596:G596"/>
    <mergeCell ref="H596:I596"/>
    <mergeCell ref="J596:K596"/>
    <mergeCell ref="D605:G605"/>
    <mergeCell ref="H605:I605"/>
    <mergeCell ref="J605:K605"/>
    <mergeCell ref="D606:G606"/>
    <mergeCell ref="H606:I606"/>
    <mergeCell ref="J606:K606"/>
    <mergeCell ref="D603:G603"/>
    <mergeCell ref="H603:I603"/>
    <mergeCell ref="J603:K603"/>
    <mergeCell ref="D604:G604"/>
    <mergeCell ref="H604:I604"/>
    <mergeCell ref="J604:K604"/>
    <mergeCell ref="D601:G601"/>
    <mergeCell ref="H601:I601"/>
    <mergeCell ref="J601:K601"/>
    <mergeCell ref="D602:G602"/>
    <mergeCell ref="H602:I602"/>
    <mergeCell ref="J602:K602"/>
    <mergeCell ref="D611:G611"/>
    <mergeCell ref="H611:I611"/>
    <mergeCell ref="J611:K611"/>
    <mergeCell ref="D612:G612"/>
    <mergeCell ref="H612:I612"/>
    <mergeCell ref="J612:K612"/>
    <mergeCell ref="D609:G609"/>
    <mergeCell ref="H609:I609"/>
    <mergeCell ref="J609:K609"/>
    <mergeCell ref="D610:G610"/>
    <mergeCell ref="H610:I610"/>
    <mergeCell ref="J610:K610"/>
    <mergeCell ref="D607:G607"/>
    <mergeCell ref="H607:I607"/>
    <mergeCell ref="J607:K607"/>
    <mergeCell ref="D608:G608"/>
    <mergeCell ref="H608:I608"/>
    <mergeCell ref="J608:K608"/>
    <mergeCell ref="D617:G617"/>
    <mergeCell ref="H617:I617"/>
    <mergeCell ref="J617:K617"/>
    <mergeCell ref="D618:G618"/>
    <mergeCell ref="H618:I618"/>
    <mergeCell ref="J618:K618"/>
    <mergeCell ref="D615:G615"/>
    <mergeCell ref="H615:I615"/>
    <mergeCell ref="J615:K615"/>
    <mergeCell ref="D616:G616"/>
    <mergeCell ref="H616:I616"/>
    <mergeCell ref="J616:K616"/>
    <mergeCell ref="D613:G613"/>
    <mergeCell ref="H613:I613"/>
    <mergeCell ref="J613:K613"/>
    <mergeCell ref="D614:G614"/>
    <mergeCell ref="H614:I614"/>
    <mergeCell ref="J614:K614"/>
    <mergeCell ref="D623:G623"/>
    <mergeCell ref="H623:I623"/>
    <mergeCell ref="J623:K623"/>
    <mergeCell ref="D624:G624"/>
    <mergeCell ref="H624:I624"/>
    <mergeCell ref="J624:K624"/>
    <mergeCell ref="D621:G621"/>
    <mergeCell ref="H621:I621"/>
    <mergeCell ref="J621:K621"/>
    <mergeCell ref="D622:G622"/>
    <mergeCell ref="H622:I622"/>
    <mergeCell ref="J622:K622"/>
    <mergeCell ref="D619:G619"/>
    <mergeCell ref="H619:I619"/>
    <mergeCell ref="J619:K619"/>
    <mergeCell ref="D620:G620"/>
    <mergeCell ref="H620:I620"/>
    <mergeCell ref="J620:K620"/>
    <mergeCell ref="D629:G629"/>
    <mergeCell ref="H629:I629"/>
    <mergeCell ref="J629:K629"/>
    <mergeCell ref="D630:G630"/>
    <mergeCell ref="H630:I630"/>
    <mergeCell ref="J630:K630"/>
    <mergeCell ref="D627:G627"/>
    <mergeCell ref="H627:I627"/>
    <mergeCell ref="J627:K627"/>
    <mergeCell ref="D628:G628"/>
    <mergeCell ref="H628:I628"/>
    <mergeCell ref="J628:K628"/>
    <mergeCell ref="D625:G625"/>
    <mergeCell ref="H625:I625"/>
    <mergeCell ref="J625:K625"/>
    <mergeCell ref="D626:G626"/>
    <mergeCell ref="H626:I626"/>
    <mergeCell ref="J626:K626"/>
    <mergeCell ref="D635:G635"/>
    <mergeCell ref="H635:I635"/>
    <mergeCell ref="J635:K635"/>
    <mergeCell ref="D636:G636"/>
    <mergeCell ref="H636:I636"/>
    <mergeCell ref="J636:K636"/>
    <mergeCell ref="D633:G633"/>
    <mergeCell ref="H633:I633"/>
    <mergeCell ref="J633:K633"/>
    <mergeCell ref="D634:G634"/>
    <mergeCell ref="H634:I634"/>
    <mergeCell ref="J634:K634"/>
    <mergeCell ref="D631:G631"/>
    <mergeCell ref="H631:I631"/>
    <mergeCell ref="J631:K631"/>
    <mergeCell ref="D632:G632"/>
    <mergeCell ref="H632:I632"/>
    <mergeCell ref="J632:K632"/>
    <mergeCell ref="D641:G641"/>
    <mergeCell ref="H641:I641"/>
    <mergeCell ref="J641:K641"/>
    <mergeCell ref="D642:G642"/>
    <mergeCell ref="H642:I642"/>
    <mergeCell ref="J642:K642"/>
    <mergeCell ref="D639:G639"/>
    <mergeCell ref="H639:I639"/>
    <mergeCell ref="J639:K639"/>
    <mergeCell ref="D640:G640"/>
    <mergeCell ref="H640:I640"/>
    <mergeCell ref="J640:K640"/>
    <mergeCell ref="D637:G637"/>
    <mergeCell ref="H637:I637"/>
    <mergeCell ref="J637:K637"/>
    <mergeCell ref="D638:G638"/>
    <mergeCell ref="H638:I638"/>
    <mergeCell ref="J638:K638"/>
    <mergeCell ref="D647:G647"/>
    <mergeCell ref="H647:I647"/>
    <mergeCell ref="J647:K647"/>
    <mergeCell ref="D648:G648"/>
    <mergeCell ref="H648:I648"/>
    <mergeCell ref="J648:K648"/>
    <mergeCell ref="D645:G645"/>
    <mergeCell ref="H645:I645"/>
    <mergeCell ref="J645:K645"/>
    <mergeCell ref="D646:G646"/>
    <mergeCell ref="H646:I646"/>
    <mergeCell ref="J646:K646"/>
    <mergeCell ref="D643:G643"/>
    <mergeCell ref="H643:I643"/>
    <mergeCell ref="J643:K643"/>
    <mergeCell ref="D644:G644"/>
    <mergeCell ref="H644:I644"/>
    <mergeCell ref="J644:K644"/>
    <mergeCell ref="D653:G653"/>
    <mergeCell ref="H653:I653"/>
    <mergeCell ref="J653:K653"/>
    <mergeCell ref="D654:G654"/>
    <mergeCell ref="H654:I654"/>
    <mergeCell ref="J654:K654"/>
    <mergeCell ref="D651:G651"/>
    <mergeCell ref="H651:I651"/>
    <mergeCell ref="J651:K651"/>
    <mergeCell ref="D652:G652"/>
    <mergeCell ref="H652:I652"/>
    <mergeCell ref="J652:K652"/>
    <mergeCell ref="D649:G649"/>
    <mergeCell ref="H649:I649"/>
    <mergeCell ref="J649:K649"/>
    <mergeCell ref="D650:G650"/>
    <mergeCell ref="H650:I650"/>
    <mergeCell ref="J650:K650"/>
    <mergeCell ref="D659:G659"/>
    <mergeCell ref="H659:I659"/>
    <mergeCell ref="J659:K659"/>
    <mergeCell ref="D660:G660"/>
    <mergeCell ref="H660:I660"/>
    <mergeCell ref="J660:K660"/>
    <mergeCell ref="D657:G657"/>
    <mergeCell ref="H657:I657"/>
    <mergeCell ref="J657:K657"/>
    <mergeCell ref="D658:G658"/>
    <mergeCell ref="H658:I658"/>
    <mergeCell ref="J658:K658"/>
    <mergeCell ref="D655:G655"/>
    <mergeCell ref="H655:I655"/>
    <mergeCell ref="J655:K655"/>
    <mergeCell ref="D656:G656"/>
    <mergeCell ref="H656:I656"/>
    <mergeCell ref="J656:K656"/>
    <mergeCell ref="D665:G665"/>
    <mergeCell ref="H665:I665"/>
    <mergeCell ref="J665:K665"/>
    <mergeCell ref="D666:G666"/>
    <mergeCell ref="H666:I666"/>
    <mergeCell ref="J666:K666"/>
    <mergeCell ref="D663:G663"/>
    <mergeCell ref="H663:I663"/>
    <mergeCell ref="J663:K663"/>
    <mergeCell ref="D664:G664"/>
    <mergeCell ref="H664:I664"/>
    <mergeCell ref="J664:K664"/>
    <mergeCell ref="D661:G661"/>
    <mergeCell ref="H661:I661"/>
    <mergeCell ref="J661:K661"/>
    <mergeCell ref="D662:G662"/>
    <mergeCell ref="H662:I662"/>
    <mergeCell ref="J662:K662"/>
    <mergeCell ref="D671:G671"/>
    <mergeCell ref="H671:I671"/>
    <mergeCell ref="J671:K671"/>
    <mergeCell ref="D672:G672"/>
    <mergeCell ref="H672:I672"/>
    <mergeCell ref="J672:K672"/>
    <mergeCell ref="D669:G669"/>
    <mergeCell ref="H669:I669"/>
    <mergeCell ref="J669:K669"/>
    <mergeCell ref="D670:G670"/>
    <mergeCell ref="H670:I670"/>
    <mergeCell ref="J670:K670"/>
    <mergeCell ref="D667:G667"/>
    <mergeCell ref="H667:I667"/>
    <mergeCell ref="J667:K667"/>
    <mergeCell ref="D668:G668"/>
    <mergeCell ref="H668:I668"/>
    <mergeCell ref="J668:K668"/>
    <mergeCell ref="D677:G677"/>
    <mergeCell ref="H677:I677"/>
    <mergeCell ref="J677:K677"/>
    <mergeCell ref="D678:G678"/>
    <mergeCell ref="H678:I678"/>
    <mergeCell ref="J678:K678"/>
    <mergeCell ref="D675:G675"/>
    <mergeCell ref="H675:I675"/>
    <mergeCell ref="J675:K675"/>
    <mergeCell ref="D676:G676"/>
    <mergeCell ref="H676:I676"/>
    <mergeCell ref="J676:K676"/>
    <mergeCell ref="D673:G673"/>
    <mergeCell ref="H673:I673"/>
    <mergeCell ref="J673:K673"/>
    <mergeCell ref="D674:G674"/>
    <mergeCell ref="H674:I674"/>
    <mergeCell ref="J674:K674"/>
    <mergeCell ref="D691:G691"/>
    <mergeCell ref="H691:I691"/>
    <mergeCell ref="J691:K691"/>
    <mergeCell ref="D692:G692"/>
    <mergeCell ref="H692:I692"/>
    <mergeCell ref="J692:K692"/>
    <mergeCell ref="B684:H684"/>
    <mergeCell ref="B686:D686"/>
    <mergeCell ref="B688:D688"/>
    <mergeCell ref="F688:J688"/>
    <mergeCell ref="D690:G690"/>
    <mergeCell ref="H690:I690"/>
    <mergeCell ref="J690:K690"/>
    <mergeCell ref="D679:G679"/>
    <mergeCell ref="H679:I679"/>
    <mergeCell ref="J679:K679"/>
    <mergeCell ref="D680:G680"/>
    <mergeCell ref="H680:I680"/>
    <mergeCell ref="J680:K680"/>
    <mergeCell ref="D697:G697"/>
    <mergeCell ref="H697:I697"/>
    <mergeCell ref="J697:K697"/>
    <mergeCell ref="D698:G698"/>
    <mergeCell ref="H698:I698"/>
    <mergeCell ref="J698:K698"/>
    <mergeCell ref="D695:G695"/>
    <mergeCell ref="H695:I695"/>
    <mergeCell ref="J695:K695"/>
    <mergeCell ref="D696:G696"/>
    <mergeCell ref="H696:I696"/>
    <mergeCell ref="J696:K696"/>
    <mergeCell ref="D693:G693"/>
    <mergeCell ref="H693:I693"/>
    <mergeCell ref="J693:K693"/>
    <mergeCell ref="D694:G694"/>
    <mergeCell ref="H694:I694"/>
    <mergeCell ref="J694:K694"/>
    <mergeCell ref="D703:G703"/>
    <mergeCell ref="H703:I703"/>
    <mergeCell ref="J703:K703"/>
    <mergeCell ref="D704:G704"/>
    <mergeCell ref="H704:I704"/>
    <mergeCell ref="J704:K704"/>
    <mergeCell ref="D701:G701"/>
    <mergeCell ref="H701:I701"/>
    <mergeCell ref="J701:K701"/>
    <mergeCell ref="D702:G702"/>
    <mergeCell ref="H702:I702"/>
    <mergeCell ref="J702:K702"/>
    <mergeCell ref="D699:G699"/>
    <mergeCell ref="H699:I699"/>
    <mergeCell ref="J699:K699"/>
    <mergeCell ref="D700:G700"/>
    <mergeCell ref="H700:I700"/>
    <mergeCell ref="J700:K700"/>
    <mergeCell ref="D709:G709"/>
    <mergeCell ref="H709:I709"/>
    <mergeCell ref="J709:K709"/>
    <mergeCell ref="D710:G710"/>
    <mergeCell ref="H710:I710"/>
    <mergeCell ref="J710:K710"/>
    <mergeCell ref="D707:G707"/>
    <mergeCell ref="H707:I707"/>
    <mergeCell ref="J707:K707"/>
    <mergeCell ref="D708:G708"/>
    <mergeCell ref="H708:I708"/>
    <mergeCell ref="J708:K708"/>
    <mergeCell ref="D705:G705"/>
    <mergeCell ref="H705:I705"/>
    <mergeCell ref="J705:K705"/>
    <mergeCell ref="D706:G706"/>
    <mergeCell ref="H706:I706"/>
    <mergeCell ref="J706:K706"/>
    <mergeCell ref="D715:G715"/>
    <mergeCell ref="H715:I715"/>
    <mergeCell ref="J715:K715"/>
    <mergeCell ref="D716:G716"/>
    <mergeCell ref="H716:I716"/>
    <mergeCell ref="J716:K716"/>
    <mergeCell ref="D713:G713"/>
    <mergeCell ref="H713:I713"/>
    <mergeCell ref="J713:K713"/>
    <mergeCell ref="D714:G714"/>
    <mergeCell ref="H714:I714"/>
    <mergeCell ref="J714:K714"/>
    <mergeCell ref="D711:G711"/>
    <mergeCell ref="H711:I711"/>
    <mergeCell ref="J711:K711"/>
    <mergeCell ref="D712:G712"/>
    <mergeCell ref="H712:I712"/>
    <mergeCell ref="J712:K712"/>
    <mergeCell ref="D721:G721"/>
    <mergeCell ref="H721:I721"/>
    <mergeCell ref="J721:K721"/>
    <mergeCell ref="D722:G722"/>
    <mergeCell ref="H722:I722"/>
    <mergeCell ref="J722:K722"/>
    <mergeCell ref="D719:G719"/>
    <mergeCell ref="H719:I719"/>
    <mergeCell ref="J719:K719"/>
    <mergeCell ref="D720:G720"/>
    <mergeCell ref="H720:I720"/>
    <mergeCell ref="J720:K720"/>
    <mergeCell ref="D717:G717"/>
    <mergeCell ref="H717:I717"/>
    <mergeCell ref="J717:K717"/>
    <mergeCell ref="D718:G718"/>
    <mergeCell ref="H718:I718"/>
    <mergeCell ref="J718:K718"/>
    <mergeCell ref="D727:G727"/>
    <mergeCell ref="H727:I727"/>
    <mergeCell ref="J727:K727"/>
    <mergeCell ref="D728:G728"/>
    <mergeCell ref="H728:I728"/>
    <mergeCell ref="J728:K728"/>
    <mergeCell ref="D725:G725"/>
    <mergeCell ref="H725:I725"/>
    <mergeCell ref="J725:K725"/>
    <mergeCell ref="D726:G726"/>
    <mergeCell ref="H726:I726"/>
    <mergeCell ref="J726:K726"/>
    <mergeCell ref="D723:G723"/>
    <mergeCell ref="H723:I723"/>
    <mergeCell ref="J723:K723"/>
    <mergeCell ref="D724:G724"/>
    <mergeCell ref="H724:I724"/>
    <mergeCell ref="J724:K724"/>
    <mergeCell ref="B736:H736"/>
    <mergeCell ref="B737:D737"/>
    <mergeCell ref="B738:D738"/>
    <mergeCell ref="F738:J738"/>
    <mergeCell ref="D739:G739"/>
    <mergeCell ref="H739:I739"/>
    <mergeCell ref="J739:K739"/>
    <mergeCell ref="D731:G731"/>
    <mergeCell ref="H731:I731"/>
    <mergeCell ref="J731:K731"/>
    <mergeCell ref="D732:G732"/>
    <mergeCell ref="H732:I732"/>
    <mergeCell ref="J732:K732"/>
    <mergeCell ref="D729:G729"/>
    <mergeCell ref="H729:I729"/>
    <mergeCell ref="J729:K729"/>
    <mergeCell ref="D730:G730"/>
    <mergeCell ref="H730:I730"/>
    <mergeCell ref="J730:K730"/>
    <mergeCell ref="D744:G744"/>
    <mergeCell ref="H744:I744"/>
    <mergeCell ref="J744:K744"/>
    <mergeCell ref="D745:G745"/>
    <mergeCell ref="H745:I745"/>
    <mergeCell ref="J745:K745"/>
    <mergeCell ref="D742:G742"/>
    <mergeCell ref="H742:I742"/>
    <mergeCell ref="J742:K742"/>
    <mergeCell ref="D743:G743"/>
    <mergeCell ref="H743:I743"/>
    <mergeCell ref="J743:K743"/>
    <mergeCell ref="D740:G740"/>
    <mergeCell ref="H740:I740"/>
    <mergeCell ref="J740:K740"/>
    <mergeCell ref="D741:G741"/>
    <mergeCell ref="H741:I741"/>
    <mergeCell ref="J741:K741"/>
    <mergeCell ref="D750:G750"/>
    <mergeCell ref="H750:I750"/>
    <mergeCell ref="J750:K750"/>
    <mergeCell ref="D751:G751"/>
    <mergeCell ref="H751:I751"/>
    <mergeCell ref="J751:K751"/>
    <mergeCell ref="D748:G748"/>
    <mergeCell ref="H748:I748"/>
    <mergeCell ref="J748:K748"/>
    <mergeCell ref="D749:G749"/>
    <mergeCell ref="H749:I749"/>
    <mergeCell ref="J749:K749"/>
    <mergeCell ref="D746:G746"/>
    <mergeCell ref="H746:I746"/>
    <mergeCell ref="J746:K746"/>
    <mergeCell ref="D747:G747"/>
    <mergeCell ref="H747:I747"/>
    <mergeCell ref="J747:K747"/>
    <mergeCell ref="D756:G756"/>
    <mergeCell ref="H756:I756"/>
    <mergeCell ref="J756:K756"/>
    <mergeCell ref="D757:G757"/>
    <mergeCell ref="H757:I757"/>
    <mergeCell ref="J757:K757"/>
    <mergeCell ref="D754:G754"/>
    <mergeCell ref="H754:I754"/>
    <mergeCell ref="J754:K754"/>
    <mergeCell ref="D755:G755"/>
    <mergeCell ref="H755:I755"/>
    <mergeCell ref="J755:K755"/>
    <mergeCell ref="D752:G752"/>
    <mergeCell ref="H752:I752"/>
    <mergeCell ref="J752:K752"/>
    <mergeCell ref="D753:G753"/>
    <mergeCell ref="H753:I753"/>
    <mergeCell ref="J753:K753"/>
    <mergeCell ref="D762:G762"/>
    <mergeCell ref="H762:I762"/>
    <mergeCell ref="J762:K762"/>
    <mergeCell ref="D763:G763"/>
    <mergeCell ref="H763:I763"/>
    <mergeCell ref="J763:K763"/>
    <mergeCell ref="D760:G760"/>
    <mergeCell ref="H760:I760"/>
    <mergeCell ref="J760:K760"/>
    <mergeCell ref="D761:G761"/>
    <mergeCell ref="H761:I761"/>
    <mergeCell ref="J761:K761"/>
    <mergeCell ref="D758:G758"/>
    <mergeCell ref="H758:I758"/>
    <mergeCell ref="J758:K758"/>
    <mergeCell ref="D759:G759"/>
    <mergeCell ref="H759:I759"/>
    <mergeCell ref="J759:K759"/>
    <mergeCell ref="D768:G768"/>
    <mergeCell ref="H768:I768"/>
    <mergeCell ref="J768:K768"/>
    <mergeCell ref="D769:G769"/>
    <mergeCell ref="H769:I769"/>
    <mergeCell ref="J769:K769"/>
    <mergeCell ref="D766:G766"/>
    <mergeCell ref="H766:I766"/>
    <mergeCell ref="J766:K766"/>
    <mergeCell ref="D767:G767"/>
    <mergeCell ref="H767:I767"/>
    <mergeCell ref="J767:K767"/>
    <mergeCell ref="D764:G764"/>
    <mergeCell ref="H764:I764"/>
    <mergeCell ref="J764:K764"/>
    <mergeCell ref="D765:G765"/>
    <mergeCell ref="H765:I765"/>
    <mergeCell ref="J765:K765"/>
    <mergeCell ref="D774:G774"/>
    <mergeCell ref="H774:I774"/>
    <mergeCell ref="J774:K774"/>
    <mergeCell ref="D775:G775"/>
    <mergeCell ref="H775:I775"/>
    <mergeCell ref="J775:K775"/>
    <mergeCell ref="D772:G772"/>
    <mergeCell ref="H772:I772"/>
    <mergeCell ref="J772:K772"/>
    <mergeCell ref="D773:G773"/>
    <mergeCell ref="H773:I773"/>
    <mergeCell ref="J773:K773"/>
    <mergeCell ref="D770:G770"/>
    <mergeCell ref="H770:I770"/>
    <mergeCell ref="J770:K770"/>
    <mergeCell ref="D771:G771"/>
    <mergeCell ref="H771:I771"/>
    <mergeCell ref="J771:K771"/>
    <mergeCell ref="D780:G780"/>
    <mergeCell ref="H780:I780"/>
    <mergeCell ref="J780:K780"/>
    <mergeCell ref="D781:G781"/>
    <mergeCell ref="H781:I781"/>
    <mergeCell ref="J781:K781"/>
    <mergeCell ref="D778:G778"/>
    <mergeCell ref="H778:I778"/>
    <mergeCell ref="J778:K778"/>
    <mergeCell ref="D779:G779"/>
    <mergeCell ref="H779:I779"/>
    <mergeCell ref="J779:K779"/>
    <mergeCell ref="D776:G776"/>
    <mergeCell ref="H776:I776"/>
    <mergeCell ref="J776:K776"/>
    <mergeCell ref="D777:G777"/>
    <mergeCell ref="H777:I777"/>
    <mergeCell ref="J777:K777"/>
    <mergeCell ref="D786:G786"/>
    <mergeCell ref="H786:I786"/>
    <mergeCell ref="J786:K786"/>
    <mergeCell ref="D787:G787"/>
    <mergeCell ref="H787:I787"/>
    <mergeCell ref="J787:K787"/>
    <mergeCell ref="D784:G784"/>
    <mergeCell ref="H784:I784"/>
    <mergeCell ref="J784:K784"/>
    <mergeCell ref="D785:G785"/>
    <mergeCell ref="H785:I785"/>
    <mergeCell ref="J785:K785"/>
    <mergeCell ref="D782:G782"/>
    <mergeCell ref="H782:I782"/>
    <mergeCell ref="J782:K782"/>
    <mergeCell ref="D783:G783"/>
    <mergeCell ref="H783:I783"/>
    <mergeCell ref="J783:K783"/>
    <mergeCell ref="D799:G799"/>
    <mergeCell ref="H799:I799"/>
    <mergeCell ref="J799:K799"/>
    <mergeCell ref="D800:G800"/>
    <mergeCell ref="H800:I800"/>
    <mergeCell ref="J800:K800"/>
    <mergeCell ref="D790:G790"/>
    <mergeCell ref="H790:I790"/>
    <mergeCell ref="J790:K790"/>
    <mergeCell ref="B794:H794"/>
    <mergeCell ref="B796:D796"/>
    <mergeCell ref="B798:D798"/>
    <mergeCell ref="F798:J798"/>
    <mergeCell ref="D788:G788"/>
    <mergeCell ref="H788:I788"/>
    <mergeCell ref="J788:K788"/>
    <mergeCell ref="D789:G789"/>
    <mergeCell ref="H789:I789"/>
    <mergeCell ref="J789:K789"/>
    <mergeCell ref="D805:G805"/>
    <mergeCell ref="H805:I805"/>
    <mergeCell ref="J805:K805"/>
    <mergeCell ref="D806:G806"/>
    <mergeCell ref="H806:I806"/>
    <mergeCell ref="J806:K806"/>
    <mergeCell ref="D803:G803"/>
    <mergeCell ref="H803:I803"/>
    <mergeCell ref="J803:K803"/>
    <mergeCell ref="D804:G804"/>
    <mergeCell ref="H804:I804"/>
    <mergeCell ref="J804:K804"/>
    <mergeCell ref="D801:G801"/>
    <mergeCell ref="H801:I801"/>
    <mergeCell ref="J801:K801"/>
    <mergeCell ref="D802:G802"/>
    <mergeCell ref="H802:I802"/>
    <mergeCell ref="J802:K802"/>
    <mergeCell ref="D811:G811"/>
    <mergeCell ref="H811:I811"/>
    <mergeCell ref="J811:K811"/>
    <mergeCell ref="D812:G812"/>
    <mergeCell ref="H812:I812"/>
    <mergeCell ref="J812:K812"/>
    <mergeCell ref="D809:G809"/>
    <mergeCell ref="H809:I809"/>
    <mergeCell ref="J809:K809"/>
    <mergeCell ref="D810:G810"/>
    <mergeCell ref="H810:I810"/>
    <mergeCell ref="J810:K810"/>
    <mergeCell ref="D807:G807"/>
    <mergeCell ref="H807:I807"/>
    <mergeCell ref="J807:K807"/>
    <mergeCell ref="D808:G808"/>
    <mergeCell ref="H808:I808"/>
    <mergeCell ref="J808:K808"/>
    <mergeCell ref="D817:G817"/>
    <mergeCell ref="H817:I817"/>
    <mergeCell ref="J817:K817"/>
    <mergeCell ref="B821:H821"/>
    <mergeCell ref="B823:D823"/>
    <mergeCell ref="B825:D825"/>
    <mergeCell ref="F825:J825"/>
    <mergeCell ref="D815:G815"/>
    <mergeCell ref="H815:I815"/>
    <mergeCell ref="J815:K815"/>
    <mergeCell ref="D816:G816"/>
    <mergeCell ref="H816:I816"/>
    <mergeCell ref="J816:K816"/>
    <mergeCell ref="D813:G813"/>
    <mergeCell ref="H813:I813"/>
    <mergeCell ref="J813:K813"/>
    <mergeCell ref="D814:G814"/>
    <mergeCell ref="H814:I814"/>
    <mergeCell ref="J814:K814"/>
    <mergeCell ref="D831:G831"/>
    <mergeCell ref="H831:I831"/>
    <mergeCell ref="J831:K831"/>
    <mergeCell ref="D832:G832"/>
    <mergeCell ref="H832:I832"/>
    <mergeCell ref="J832:K832"/>
    <mergeCell ref="D829:G829"/>
    <mergeCell ref="H829:I829"/>
    <mergeCell ref="J829:K829"/>
    <mergeCell ref="D830:G830"/>
    <mergeCell ref="H830:I830"/>
    <mergeCell ref="J830:K830"/>
    <mergeCell ref="D827:G827"/>
    <mergeCell ref="H827:I827"/>
    <mergeCell ref="J827:K827"/>
    <mergeCell ref="D828:G828"/>
    <mergeCell ref="H828:I828"/>
    <mergeCell ref="J828:K828"/>
    <mergeCell ref="D837:G837"/>
    <mergeCell ref="H837:I837"/>
    <mergeCell ref="J837:K837"/>
    <mergeCell ref="D838:G838"/>
    <mergeCell ref="H838:I838"/>
    <mergeCell ref="J838:K838"/>
    <mergeCell ref="D835:G835"/>
    <mergeCell ref="H835:I835"/>
    <mergeCell ref="J835:K835"/>
    <mergeCell ref="D836:G836"/>
    <mergeCell ref="H836:I836"/>
    <mergeCell ref="J836:K836"/>
    <mergeCell ref="D833:G833"/>
    <mergeCell ref="H833:I833"/>
    <mergeCell ref="J833:K833"/>
    <mergeCell ref="D834:G834"/>
    <mergeCell ref="H834:I834"/>
    <mergeCell ref="J834:K834"/>
    <mergeCell ref="D843:G843"/>
    <mergeCell ref="H843:I843"/>
    <mergeCell ref="J843:K843"/>
    <mergeCell ref="D844:G844"/>
    <mergeCell ref="H844:I844"/>
    <mergeCell ref="J844:K844"/>
    <mergeCell ref="D841:G841"/>
    <mergeCell ref="H841:I841"/>
    <mergeCell ref="J841:K841"/>
    <mergeCell ref="D842:G842"/>
    <mergeCell ref="H842:I842"/>
    <mergeCell ref="J842:K842"/>
    <mergeCell ref="D839:G839"/>
    <mergeCell ref="H839:I839"/>
    <mergeCell ref="J839:K839"/>
    <mergeCell ref="D840:G840"/>
    <mergeCell ref="H840:I840"/>
    <mergeCell ref="J840:K840"/>
    <mergeCell ref="D849:G849"/>
    <mergeCell ref="H849:I849"/>
    <mergeCell ref="J849:K849"/>
    <mergeCell ref="D850:G850"/>
    <mergeCell ref="H850:I850"/>
    <mergeCell ref="J850:K850"/>
    <mergeCell ref="D847:G847"/>
    <mergeCell ref="H847:I847"/>
    <mergeCell ref="J847:K847"/>
    <mergeCell ref="D848:G848"/>
    <mergeCell ref="H848:I848"/>
    <mergeCell ref="J848:K848"/>
    <mergeCell ref="D845:G845"/>
    <mergeCell ref="H845:I845"/>
    <mergeCell ref="J845:K845"/>
    <mergeCell ref="D846:G846"/>
    <mergeCell ref="H846:I846"/>
    <mergeCell ref="J846:K846"/>
    <mergeCell ref="D855:G855"/>
    <mergeCell ref="H855:I855"/>
    <mergeCell ref="J855:K855"/>
    <mergeCell ref="D856:G856"/>
    <mergeCell ref="H856:I856"/>
    <mergeCell ref="J856:K856"/>
    <mergeCell ref="D853:G853"/>
    <mergeCell ref="H853:I853"/>
    <mergeCell ref="J853:K853"/>
    <mergeCell ref="D854:G854"/>
    <mergeCell ref="H854:I854"/>
    <mergeCell ref="J854:K854"/>
    <mergeCell ref="D851:G851"/>
    <mergeCell ref="H851:I851"/>
    <mergeCell ref="J851:K851"/>
    <mergeCell ref="D852:G852"/>
    <mergeCell ref="H852:I852"/>
    <mergeCell ref="J852:K852"/>
    <mergeCell ref="D861:G861"/>
    <mergeCell ref="H861:I861"/>
    <mergeCell ref="J861:K861"/>
    <mergeCell ref="D862:G862"/>
    <mergeCell ref="H862:I862"/>
    <mergeCell ref="J862:K862"/>
    <mergeCell ref="D859:G859"/>
    <mergeCell ref="H859:I859"/>
    <mergeCell ref="J859:K859"/>
    <mergeCell ref="D860:G860"/>
    <mergeCell ref="H860:I860"/>
    <mergeCell ref="J860:K860"/>
    <mergeCell ref="D857:G857"/>
    <mergeCell ref="H857:I857"/>
    <mergeCell ref="J857:K857"/>
    <mergeCell ref="D858:G858"/>
    <mergeCell ref="H858:I858"/>
    <mergeCell ref="J858:K858"/>
    <mergeCell ref="D867:G867"/>
    <mergeCell ref="H867:I867"/>
    <mergeCell ref="J867:K867"/>
    <mergeCell ref="D868:G868"/>
    <mergeCell ref="H868:I868"/>
    <mergeCell ref="J868:K868"/>
    <mergeCell ref="D865:G865"/>
    <mergeCell ref="H865:I865"/>
    <mergeCell ref="J865:K865"/>
    <mergeCell ref="D866:G866"/>
    <mergeCell ref="H866:I866"/>
    <mergeCell ref="J866:K866"/>
    <mergeCell ref="D863:G863"/>
    <mergeCell ref="H863:I863"/>
    <mergeCell ref="J863:K863"/>
    <mergeCell ref="D864:G864"/>
    <mergeCell ref="H864:I864"/>
    <mergeCell ref="J864:K864"/>
    <mergeCell ref="B876:H876"/>
    <mergeCell ref="B878:D878"/>
    <mergeCell ref="B880:D880"/>
    <mergeCell ref="F880:J880"/>
    <mergeCell ref="D882:G882"/>
    <mergeCell ref="H882:I882"/>
    <mergeCell ref="J882:K882"/>
    <mergeCell ref="D871:G871"/>
    <mergeCell ref="H871:I871"/>
    <mergeCell ref="J871:K871"/>
    <mergeCell ref="D872:G872"/>
    <mergeCell ref="H872:I872"/>
    <mergeCell ref="J872:K872"/>
    <mergeCell ref="D869:G869"/>
    <mergeCell ref="H869:I869"/>
    <mergeCell ref="J869:K869"/>
    <mergeCell ref="D870:G870"/>
    <mergeCell ref="H870:I870"/>
    <mergeCell ref="J870:K870"/>
    <mergeCell ref="D887:G887"/>
    <mergeCell ref="H887:I887"/>
    <mergeCell ref="J887:K887"/>
    <mergeCell ref="D888:G888"/>
    <mergeCell ref="H888:I888"/>
    <mergeCell ref="J888:K888"/>
    <mergeCell ref="D885:G885"/>
    <mergeCell ref="H885:I885"/>
    <mergeCell ref="J885:K885"/>
    <mergeCell ref="D886:G886"/>
    <mergeCell ref="H886:I886"/>
    <mergeCell ref="J886:K886"/>
    <mergeCell ref="D883:G883"/>
    <mergeCell ref="H883:I883"/>
    <mergeCell ref="J883:K883"/>
    <mergeCell ref="D884:G884"/>
    <mergeCell ref="H884:I884"/>
    <mergeCell ref="J884:K884"/>
    <mergeCell ref="D893:G893"/>
    <mergeCell ref="H893:I893"/>
    <mergeCell ref="J893:K893"/>
    <mergeCell ref="D894:G894"/>
    <mergeCell ref="H894:I894"/>
    <mergeCell ref="J894:K894"/>
    <mergeCell ref="D891:G891"/>
    <mergeCell ref="H891:I891"/>
    <mergeCell ref="J891:K891"/>
    <mergeCell ref="D892:G892"/>
    <mergeCell ref="H892:I892"/>
    <mergeCell ref="J892:K892"/>
    <mergeCell ref="D889:G889"/>
    <mergeCell ref="H889:I889"/>
    <mergeCell ref="J889:K889"/>
    <mergeCell ref="D890:G890"/>
    <mergeCell ref="H890:I890"/>
    <mergeCell ref="J890:K890"/>
    <mergeCell ref="D908:G908"/>
    <mergeCell ref="H908:I908"/>
    <mergeCell ref="J908:K908"/>
    <mergeCell ref="B913:H913"/>
    <mergeCell ref="B915:D915"/>
    <mergeCell ref="B917:D917"/>
    <mergeCell ref="F917:J917"/>
    <mergeCell ref="D906:G906"/>
    <mergeCell ref="H906:I906"/>
    <mergeCell ref="J906:K906"/>
    <mergeCell ref="D907:G907"/>
    <mergeCell ref="H907:I907"/>
    <mergeCell ref="J907:K907"/>
    <mergeCell ref="B899:H899"/>
    <mergeCell ref="B901:D901"/>
    <mergeCell ref="B903:D903"/>
    <mergeCell ref="F903:J903"/>
    <mergeCell ref="D905:G905"/>
    <mergeCell ref="H905:I905"/>
    <mergeCell ref="J905:K905"/>
    <mergeCell ref="D923:G923"/>
    <mergeCell ref="H923:I923"/>
    <mergeCell ref="J923:K923"/>
    <mergeCell ref="D924:G924"/>
    <mergeCell ref="H924:I924"/>
    <mergeCell ref="J924:K924"/>
    <mergeCell ref="D921:G921"/>
    <mergeCell ref="H921:I921"/>
    <mergeCell ref="J921:K921"/>
    <mergeCell ref="D922:G922"/>
    <mergeCell ref="H922:I922"/>
    <mergeCell ref="J922:K922"/>
    <mergeCell ref="D919:G919"/>
    <mergeCell ref="H919:I919"/>
    <mergeCell ref="J919:K919"/>
    <mergeCell ref="D920:G920"/>
    <mergeCell ref="H920:I920"/>
    <mergeCell ref="J920:K920"/>
    <mergeCell ref="D929:G929"/>
    <mergeCell ref="H929:I929"/>
    <mergeCell ref="J929:K929"/>
    <mergeCell ref="D930:G930"/>
    <mergeCell ref="H930:I930"/>
    <mergeCell ref="J930:K930"/>
    <mergeCell ref="D927:G927"/>
    <mergeCell ref="H927:I927"/>
    <mergeCell ref="J927:K927"/>
    <mergeCell ref="D928:G928"/>
    <mergeCell ref="H928:I928"/>
    <mergeCell ref="J928:K928"/>
    <mergeCell ref="D925:G925"/>
    <mergeCell ref="H925:I925"/>
    <mergeCell ref="J925:K925"/>
    <mergeCell ref="D926:G926"/>
    <mergeCell ref="H926:I926"/>
    <mergeCell ref="J926:K926"/>
    <mergeCell ref="D935:G935"/>
    <mergeCell ref="H935:I935"/>
    <mergeCell ref="J935:K935"/>
    <mergeCell ref="D936:G936"/>
    <mergeCell ref="H936:I936"/>
    <mergeCell ref="J936:K936"/>
    <mergeCell ref="D933:G933"/>
    <mergeCell ref="H933:I933"/>
    <mergeCell ref="J933:K933"/>
    <mergeCell ref="D934:G934"/>
    <mergeCell ref="H934:I934"/>
    <mergeCell ref="J934:K934"/>
    <mergeCell ref="D931:G931"/>
    <mergeCell ref="H931:I931"/>
    <mergeCell ref="J931:K931"/>
    <mergeCell ref="D932:G932"/>
    <mergeCell ref="H932:I932"/>
    <mergeCell ref="J932:K932"/>
    <mergeCell ref="D941:G941"/>
    <mergeCell ref="H941:I941"/>
    <mergeCell ref="J941:K941"/>
    <mergeCell ref="D942:G942"/>
    <mergeCell ref="H942:I942"/>
    <mergeCell ref="J942:K942"/>
    <mergeCell ref="D939:G939"/>
    <mergeCell ref="H939:I939"/>
    <mergeCell ref="J939:K939"/>
    <mergeCell ref="D940:G940"/>
    <mergeCell ref="H940:I940"/>
    <mergeCell ref="J940:K940"/>
    <mergeCell ref="D937:G937"/>
    <mergeCell ref="H937:I937"/>
    <mergeCell ref="J937:K937"/>
    <mergeCell ref="D938:G938"/>
    <mergeCell ref="H938:I938"/>
    <mergeCell ref="J938:K938"/>
    <mergeCell ref="D947:G947"/>
    <mergeCell ref="H947:I947"/>
    <mergeCell ref="J947:K947"/>
    <mergeCell ref="D948:G948"/>
    <mergeCell ref="H948:I948"/>
    <mergeCell ref="J948:K948"/>
    <mergeCell ref="D945:G945"/>
    <mergeCell ref="H945:I945"/>
    <mergeCell ref="J945:K945"/>
    <mergeCell ref="D946:G946"/>
    <mergeCell ref="H946:I946"/>
    <mergeCell ref="J946:K946"/>
    <mergeCell ref="D943:G943"/>
    <mergeCell ref="H943:I943"/>
    <mergeCell ref="J943:K943"/>
    <mergeCell ref="D944:G944"/>
    <mergeCell ref="H944:I944"/>
    <mergeCell ref="J944:K944"/>
    <mergeCell ref="D953:G953"/>
    <mergeCell ref="H953:I953"/>
    <mergeCell ref="J953:K953"/>
    <mergeCell ref="D954:G954"/>
    <mergeCell ref="H954:I954"/>
    <mergeCell ref="J954:K954"/>
    <mergeCell ref="D951:G951"/>
    <mergeCell ref="H951:I951"/>
    <mergeCell ref="J951:K951"/>
    <mergeCell ref="D952:G952"/>
    <mergeCell ref="H952:I952"/>
    <mergeCell ref="J952:K952"/>
    <mergeCell ref="D949:G949"/>
    <mergeCell ref="H949:I949"/>
    <mergeCell ref="J949:K949"/>
    <mergeCell ref="D950:G950"/>
    <mergeCell ref="H950:I950"/>
    <mergeCell ref="J950:K950"/>
    <mergeCell ref="C962:I962"/>
    <mergeCell ref="C964:E964"/>
    <mergeCell ref="C966:E966"/>
    <mergeCell ref="G966:K966"/>
    <mergeCell ref="E968:H968"/>
    <mergeCell ref="I968:J968"/>
    <mergeCell ref="K968:L968"/>
    <mergeCell ref="D957:G957"/>
    <mergeCell ref="H957:I957"/>
    <mergeCell ref="J957:K957"/>
    <mergeCell ref="D958:G958"/>
    <mergeCell ref="H958:I958"/>
    <mergeCell ref="J958:K958"/>
    <mergeCell ref="D955:G955"/>
    <mergeCell ref="H955:I955"/>
    <mergeCell ref="J955:K955"/>
    <mergeCell ref="D956:G956"/>
    <mergeCell ref="H956:I956"/>
    <mergeCell ref="J956:K956"/>
    <mergeCell ref="E973:H973"/>
    <mergeCell ref="I973:J973"/>
    <mergeCell ref="K973:L973"/>
    <mergeCell ref="E974:H974"/>
    <mergeCell ref="I974:J974"/>
    <mergeCell ref="K974:L974"/>
    <mergeCell ref="E971:H971"/>
    <mergeCell ref="I971:J971"/>
    <mergeCell ref="K971:L971"/>
    <mergeCell ref="E972:H972"/>
    <mergeCell ref="I972:J972"/>
    <mergeCell ref="K972:L972"/>
    <mergeCell ref="E969:H969"/>
    <mergeCell ref="I969:J969"/>
    <mergeCell ref="K969:L969"/>
    <mergeCell ref="E970:H970"/>
    <mergeCell ref="I970:J970"/>
    <mergeCell ref="K970:L970"/>
    <mergeCell ref="E979:H979"/>
    <mergeCell ref="I979:J979"/>
    <mergeCell ref="K979:L979"/>
    <mergeCell ref="E980:H980"/>
    <mergeCell ref="I980:J980"/>
    <mergeCell ref="K980:L980"/>
    <mergeCell ref="E977:H977"/>
    <mergeCell ref="I977:J977"/>
    <mergeCell ref="K977:L977"/>
    <mergeCell ref="E978:H978"/>
    <mergeCell ref="I978:J978"/>
    <mergeCell ref="K978:L978"/>
    <mergeCell ref="E975:H975"/>
    <mergeCell ref="I975:J975"/>
    <mergeCell ref="K975:L975"/>
    <mergeCell ref="E976:H976"/>
    <mergeCell ref="I976:J976"/>
    <mergeCell ref="K976:L976"/>
    <mergeCell ref="E985:H985"/>
    <mergeCell ref="I985:J985"/>
    <mergeCell ref="K985:L985"/>
    <mergeCell ref="E986:H986"/>
    <mergeCell ref="I986:J986"/>
    <mergeCell ref="K986:L986"/>
    <mergeCell ref="E983:H983"/>
    <mergeCell ref="I983:J983"/>
    <mergeCell ref="K983:L983"/>
    <mergeCell ref="E984:H984"/>
    <mergeCell ref="I984:J984"/>
    <mergeCell ref="K984:L984"/>
    <mergeCell ref="E981:H981"/>
    <mergeCell ref="I981:J981"/>
    <mergeCell ref="K981:L981"/>
    <mergeCell ref="E982:H982"/>
    <mergeCell ref="I982:J982"/>
    <mergeCell ref="K982:L982"/>
    <mergeCell ref="E991:H991"/>
    <mergeCell ref="I991:J991"/>
    <mergeCell ref="K991:L991"/>
    <mergeCell ref="E992:H992"/>
    <mergeCell ref="I992:J992"/>
    <mergeCell ref="K992:L992"/>
    <mergeCell ref="E989:H989"/>
    <mergeCell ref="I989:J989"/>
    <mergeCell ref="K989:L989"/>
    <mergeCell ref="E990:H990"/>
    <mergeCell ref="I990:J990"/>
    <mergeCell ref="K990:L990"/>
    <mergeCell ref="E987:H987"/>
    <mergeCell ref="I987:J987"/>
    <mergeCell ref="K987:L987"/>
    <mergeCell ref="E988:H988"/>
    <mergeCell ref="I988:J988"/>
    <mergeCell ref="K988:L988"/>
    <mergeCell ref="E997:H997"/>
    <mergeCell ref="I997:J997"/>
    <mergeCell ref="K997:L997"/>
    <mergeCell ref="E998:H998"/>
    <mergeCell ref="I998:J998"/>
    <mergeCell ref="K998:L998"/>
    <mergeCell ref="E995:H995"/>
    <mergeCell ref="I995:J995"/>
    <mergeCell ref="K995:L995"/>
    <mergeCell ref="E996:H996"/>
    <mergeCell ref="I996:J996"/>
    <mergeCell ref="K996:L996"/>
    <mergeCell ref="E993:H993"/>
    <mergeCell ref="I993:J993"/>
    <mergeCell ref="K993:L993"/>
    <mergeCell ref="E994:H994"/>
    <mergeCell ref="I994:J994"/>
    <mergeCell ref="K994:L994"/>
    <mergeCell ref="E1003:H1003"/>
    <mergeCell ref="I1003:J1003"/>
    <mergeCell ref="K1003:L1003"/>
    <mergeCell ref="E1004:H1004"/>
    <mergeCell ref="I1004:J1004"/>
    <mergeCell ref="K1004:L1004"/>
    <mergeCell ref="E1001:H1001"/>
    <mergeCell ref="I1001:J1001"/>
    <mergeCell ref="K1001:L1001"/>
    <mergeCell ref="E1002:H1002"/>
    <mergeCell ref="I1002:J1002"/>
    <mergeCell ref="K1002:L1002"/>
    <mergeCell ref="E999:H999"/>
    <mergeCell ref="I999:J999"/>
    <mergeCell ref="K999:L999"/>
    <mergeCell ref="E1000:H1000"/>
    <mergeCell ref="I1000:J1000"/>
    <mergeCell ref="K1000:L1000"/>
    <mergeCell ref="E1009:H1009"/>
    <mergeCell ref="I1009:J1009"/>
    <mergeCell ref="K1009:L1009"/>
    <mergeCell ref="E1010:H1010"/>
    <mergeCell ref="I1010:J1010"/>
    <mergeCell ref="K1010:L1010"/>
    <mergeCell ref="E1007:H1007"/>
    <mergeCell ref="I1007:J1007"/>
    <mergeCell ref="K1007:L1007"/>
    <mergeCell ref="E1008:H1008"/>
    <mergeCell ref="I1008:J1008"/>
    <mergeCell ref="K1008:L1008"/>
    <mergeCell ref="E1005:H1005"/>
    <mergeCell ref="I1005:J1005"/>
    <mergeCell ref="K1005:L1005"/>
    <mergeCell ref="E1006:H1006"/>
    <mergeCell ref="I1006:J1006"/>
    <mergeCell ref="K1006:L1006"/>
    <mergeCell ref="I1024:J1024"/>
    <mergeCell ref="K1024:L1024"/>
    <mergeCell ref="I1025:J1025"/>
    <mergeCell ref="K1025:L1025"/>
    <mergeCell ref="I1026:J1026"/>
    <mergeCell ref="K1026:L1026"/>
    <mergeCell ref="I1021:J1021"/>
    <mergeCell ref="K1021:L1021"/>
    <mergeCell ref="I1022:J1022"/>
    <mergeCell ref="K1022:L1022"/>
    <mergeCell ref="I1023:J1023"/>
    <mergeCell ref="K1023:L1023"/>
    <mergeCell ref="C1014:I1014"/>
    <mergeCell ref="C1016:E1016"/>
    <mergeCell ref="C1018:E1018"/>
    <mergeCell ref="G1018:K1018"/>
    <mergeCell ref="E1020:H1020"/>
    <mergeCell ref="I1020:J1020"/>
    <mergeCell ref="K1020:L1020"/>
    <mergeCell ref="I1033:J1033"/>
    <mergeCell ref="K1033:L1033"/>
    <mergeCell ref="I1034:J1034"/>
    <mergeCell ref="K1034:L1034"/>
    <mergeCell ref="I1035:J1035"/>
    <mergeCell ref="K1035:L1035"/>
    <mergeCell ref="I1030:J1030"/>
    <mergeCell ref="K1030:L1030"/>
    <mergeCell ref="I1031:J1031"/>
    <mergeCell ref="K1031:L1031"/>
    <mergeCell ref="I1032:J1032"/>
    <mergeCell ref="K1032:L1032"/>
    <mergeCell ref="I1027:J1027"/>
    <mergeCell ref="K1027:L1027"/>
    <mergeCell ref="I1028:J1028"/>
    <mergeCell ref="K1028:L1028"/>
    <mergeCell ref="I1029:J1029"/>
    <mergeCell ref="K1029:L1029"/>
    <mergeCell ref="I1042:J1042"/>
    <mergeCell ref="K1042:L1042"/>
    <mergeCell ref="I1043:J1043"/>
    <mergeCell ref="K1043:L1043"/>
    <mergeCell ref="I1044:J1044"/>
    <mergeCell ref="K1044:L1044"/>
    <mergeCell ref="I1039:J1039"/>
    <mergeCell ref="K1039:L1039"/>
    <mergeCell ref="I1040:J1040"/>
    <mergeCell ref="K1040:L1040"/>
    <mergeCell ref="I1041:J1041"/>
    <mergeCell ref="K1041:L1041"/>
    <mergeCell ref="I1036:J1036"/>
    <mergeCell ref="K1036:L1036"/>
    <mergeCell ref="I1037:J1037"/>
    <mergeCell ref="K1037:L1037"/>
    <mergeCell ref="I1038:J1038"/>
    <mergeCell ref="K1038:L1038"/>
    <mergeCell ref="E1050:H1050"/>
    <mergeCell ref="I1050:J1050"/>
    <mergeCell ref="K1050:L1050"/>
    <mergeCell ref="E1051:H1051"/>
    <mergeCell ref="I1051:J1051"/>
    <mergeCell ref="K1051:L1051"/>
    <mergeCell ref="E1048:H1048"/>
    <mergeCell ref="I1048:J1048"/>
    <mergeCell ref="K1048:L1048"/>
    <mergeCell ref="E1049:H1049"/>
    <mergeCell ref="I1049:J1049"/>
    <mergeCell ref="K1049:L1049"/>
    <mergeCell ref="I1045:J1045"/>
    <mergeCell ref="K1045:L1045"/>
    <mergeCell ref="I1046:J1046"/>
    <mergeCell ref="K1046:L1046"/>
    <mergeCell ref="I1047:J1047"/>
    <mergeCell ref="K1047:L1047"/>
    <mergeCell ref="E1056:H1056"/>
    <mergeCell ref="I1056:J1056"/>
    <mergeCell ref="K1056:L1056"/>
    <mergeCell ref="E1057:H1057"/>
    <mergeCell ref="I1057:J1057"/>
    <mergeCell ref="K1057:L1057"/>
    <mergeCell ref="E1054:H1054"/>
    <mergeCell ref="I1054:J1054"/>
    <mergeCell ref="K1054:L1054"/>
    <mergeCell ref="E1055:H1055"/>
    <mergeCell ref="I1055:J1055"/>
    <mergeCell ref="K1055:L1055"/>
    <mergeCell ref="E1052:H1052"/>
    <mergeCell ref="I1052:J1052"/>
    <mergeCell ref="K1052:L1052"/>
    <mergeCell ref="E1053:H1053"/>
    <mergeCell ref="I1053:J1053"/>
    <mergeCell ref="K1053:L1053"/>
    <mergeCell ref="E1062:H1062"/>
    <mergeCell ref="I1062:J1062"/>
    <mergeCell ref="K1062:L1062"/>
    <mergeCell ref="E1063:H1063"/>
    <mergeCell ref="I1063:J1063"/>
    <mergeCell ref="K1063:L1063"/>
    <mergeCell ref="E1060:H1060"/>
    <mergeCell ref="I1060:J1060"/>
    <mergeCell ref="K1060:L1060"/>
    <mergeCell ref="E1061:H1061"/>
    <mergeCell ref="I1061:J1061"/>
    <mergeCell ref="K1061:L1061"/>
    <mergeCell ref="E1058:H1058"/>
    <mergeCell ref="I1058:J1058"/>
    <mergeCell ref="K1058:L1058"/>
    <mergeCell ref="E1059:H1059"/>
    <mergeCell ref="I1059:J1059"/>
    <mergeCell ref="K1059:L1059"/>
    <mergeCell ref="E1068:H1068"/>
    <mergeCell ref="I1068:J1068"/>
    <mergeCell ref="K1068:L1068"/>
    <mergeCell ref="E1069:H1069"/>
    <mergeCell ref="I1069:J1069"/>
    <mergeCell ref="K1069:L1069"/>
    <mergeCell ref="E1066:H1066"/>
    <mergeCell ref="I1066:J1066"/>
    <mergeCell ref="K1066:L1066"/>
    <mergeCell ref="E1067:H1067"/>
    <mergeCell ref="I1067:J1067"/>
    <mergeCell ref="K1067:L1067"/>
    <mergeCell ref="E1064:H1064"/>
    <mergeCell ref="I1064:J1064"/>
    <mergeCell ref="K1064:L1064"/>
    <mergeCell ref="E1065:H1065"/>
    <mergeCell ref="I1065:J1065"/>
    <mergeCell ref="K1065:L1065"/>
    <mergeCell ref="E1074:H1074"/>
    <mergeCell ref="I1074:J1074"/>
    <mergeCell ref="K1074:L1074"/>
    <mergeCell ref="C1078:I1078"/>
    <mergeCell ref="C1080:E1080"/>
    <mergeCell ref="C1082:E1082"/>
    <mergeCell ref="G1082:K1082"/>
    <mergeCell ref="E1072:H1072"/>
    <mergeCell ref="I1072:J1072"/>
    <mergeCell ref="K1072:L1072"/>
    <mergeCell ref="E1073:H1073"/>
    <mergeCell ref="I1073:J1073"/>
    <mergeCell ref="K1073:L1073"/>
    <mergeCell ref="E1070:H1070"/>
    <mergeCell ref="I1070:J1070"/>
    <mergeCell ref="K1070:L1070"/>
    <mergeCell ref="E1071:H1071"/>
    <mergeCell ref="I1071:J1071"/>
    <mergeCell ref="K1071:L1071"/>
    <mergeCell ref="E1088:H1088"/>
    <mergeCell ref="I1088:J1088"/>
    <mergeCell ref="K1088:L1088"/>
    <mergeCell ref="E1089:H1089"/>
    <mergeCell ref="I1089:J1089"/>
    <mergeCell ref="K1089:L1089"/>
    <mergeCell ref="E1086:H1086"/>
    <mergeCell ref="I1086:J1086"/>
    <mergeCell ref="K1086:L1086"/>
    <mergeCell ref="E1087:H1087"/>
    <mergeCell ref="I1087:J1087"/>
    <mergeCell ref="K1087:L1087"/>
    <mergeCell ref="E1084:H1084"/>
    <mergeCell ref="I1084:J1084"/>
    <mergeCell ref="K1084:L1084"/>
    <mergeCell ref="E1085:H1085"/>
    <mergeCell ref="I1085:J1085"/>
    <mergeCell ref="K1085:L1085"/>
    <mergeCell ref="E1102:H1102"/>
    <mergeCell ref="I1102:J1102"/>
    <mergeCell ref="K1102:L1102"/>
    <mergeCell ref="E1103:H1103"/>
    <mergeCell ref="I1103:J1103"/>
    <mergeCell ref="K1103:L1103"/>
    <mergeCell ref="E1100:H1100"/>
    <mergeCell ref="I1100:J1100"/>
    <mergeCell ref="K1100:L1100"/>
    <mergeCell ref="E1101:H1101"/>
    <mergeCell ref="I1101:J1101"/>
    <mergeCell ref="K1101:L1101"/>
    <mergeCell ref="E1090:H1090"/>
    <mergeCell ref="I1090:J1090"/>
    <mergeCell ref="K1090:L1090"/>
    <mergeCell ref="C1094:I1094"/>
    <mergeCell ref="C1096:E1096"/>
    <mergeCell ref="C1098:E1098"/>
    <mergeCell ref="G1098:K1098"/>
    <mergeCell ref="E1108:H1108"/>
    <mergeCell ref="I1108:J1108"/>
    <mergeCell ref="K1108:L1108"/>
    <mergeCell ref="E1109:H1109"/>
    <mergeCell ref="I1109:J1109"/>
    <mergeCell ref="K1109:L1109"/>
    <mergeCell ref="E1106:H1106"/>
    <mergeCell ref="I1106:J1106"/>
    <mergeCell ref="K1106:L1106"/>
    <mergeCell ref="E1107:H1107"/>
    <mergeCell ref="I1107:J1107"/>
    <mergeCell ref="K1107:L1107"/>
    <mergeCell ref="E1104:H1104"/>
    <mergeCell ref="I1104:J1104"/>
    <mergeCell ref="K1104:L1104"/>
    <mergeCell ref="E1105:H1105"/>
    <mergeCell ref="I1105:J1105"/>
    <mergeCell ref="K1105:L1105"/>
    <mergeCell ref="E1114:H1114"/>
    <mergeCell ref="I1114:J1114"/>
    <mergeCell ref="K1114:L1114"/>
    <mergeCell ref="E1115:H1115"/>
    <mergeCell ref="I1115:J1115"/>
    <mergeCell ref="K1115:L1115"/>
    <mergeCell ref="E1112:H1112"/>
    <mergeCell ref="I1112:J1112"/>
    <mergeCell ref="K1112:L1112"/>
    <mergeCell ref="E1113:H1113"/>
    <mergeCell ref="I1113:J1113"/>
    <mergeCell ref="K1113:L1113"/>
    <mergeCell ref="E1110:H1110"/>
    <mergeCell ref="I1110:J1110"/>
    <mergeCell ref="K1110:L1110"/>
    <mergeCell ref="E1111:H1111"/>
    <mergeCell ref="I1111:J1111"/>
    <mergeCell ref="K1111:L1111"/>
    <mergeCell ref="E1120:H1120"/>
    <mergeCell ref="I1120:J1120"/>
    <mergeCell ref="K1120:L1120"/>
    <mergeCell ref="E1121:H1121"/>
    <mergeCell ref="I1121:J1121"/>
    <mergeCell ref="K1121:L1121"/>
    <mergeCell ref="E1118:H1118"/>
    <mergeCell ref="I1118:J1118"/>
    <mergeCell ref="K1118:L1118"/>
    <mergeCell ref="E1119:H1119"/>
    <mergeCell ref="I1119:J1119"/>
    <mergeCell ref="K1119:L1119"/>
    <mergeCell ref="E1116:H1116"/>
    <mergeCell ref="I1116:J1116"/>
    <mergeCell ref="K1116:L1116"/>
    <mergeCell ref="E1117:H1117"/>
    <mergeCell ref="I1117:J1117"/>
    <mergeCell ref="K1117:L1117"/>
    <mergeCell ref="E1126:H1126"/>
    <mergeCell ref="I1126:J1126"/>
    <mergeCell ref="K1126:L1126"/>
    <mergeCell ref="E1127:H1127"/>
    <mergeCell ref="I1127:J1127"/>
    <mergeCell ref="K1127:L1127"/>
    <mergeCell ref="E1124:H1124"/>
    <mergeCell ref="I1124:J1124"/>
    <mergeCell ref="K1124:L1124"/>
    <mergeCell ref="E1125:H1125"/>
    <mergeCell ref="I1125:J1125"/>
    <mergeCell ref="K1125:L1125"/>
    <mergeCell ref="E1122:H1122"/>
    <mergeCell ref="I1122:J1122"/>
    <mergeCell ref="K1122:L1122"/>
    <mergeCell ref="E1123:H1123"/>
    <mergeCell ref="I1123:J1123"/>
    <mergeCell ref="K1123:L1123"/>
    <mergeCell ref="E1132:H1132"/>
    <mergeCell ref="I1132:J1132"/>
    <mergeCell ref="K1132:L1132"/>
    <mergeCell ref="E1133:H1133"/>
    <mergeCell ref="I1133:J1133"/>
    <mergeCell ref="K1133:L1133"/>
    <mergeCell ref="E1130:H1130"/>
    <mergeCell ref="I1130:J1130"/>
    <mergeCell ref="K1130:L1130"/>
    <mergeCell ref="E1131:H1131"/>
    <mergeCell ref="I1131:J1131"/>
    <mergeCell ref="K1131:L1131"/>
    <mergeCell ref="E1128:H1128"/>
    <mergeCell ref="I1128:J1128"/>
    <mergeCell ref="K1128:L1128"/>
    <mergeCell ref="E1129:H1129"/>
    <mergeCell ref="I1129:J1129"/>
    <mergeCell ref="K1129:L1129"/>
    <mergeCell ref="E1146:H1146"/>
    <mergeCell ref="I1146:J1146"/>
    <mergeCell ref="K1146:L1146"/>
    <mergeCell ref="E1147:H1147"/>
    <mergeCell ref="I1147:J1147"/>
    <mergeCell ref="K1147:L1147"/>
    <mergeCell ref="E1144:H1144"/>
    <mergeCell ref="I1144:J1144"/>
    <mergeCell ref="K1144:L1144"/>
    <mergeCell ref="E1145:H1145"/>
    <mergeCell ref="I1145:J1145"/>
    <mergeCell ref="K1145:L1145"/>
    <mergeCell ref="C1137:I1137"/>
    <mergeCell ref="C1139:E1139"/>
    <mergeCell ref="C1141:E1141"/>
    <mergeCell ref="G1141:K1141"/>
    <mergeCell ref="E1143:H1143"/>
    <mergeCell ref="I1143:J1143"/>
    <mergeCell ref="K1143:L1143"/>
    <mergeCell ref="E1152:H1152"/>
    <mergeCell ref="I1152:J1152"/>
    <mergeCell ref="K1152:L1152"/>
    <mergeCell ref="E1153:H1153"/>
    <mergeCell ref="I1153:J1153"/>
    <mergeCell ref="K1153:L1153"/>
    <mergeCell ref="E1150:H1150"/>
    <mergeCell ref="I1150:J1150"/>
    <mergeCell ref="K1150:L1150"/>
    <mergeCell ref="E1151:H1151"/>
    <mergeCell ref="I1151:J1151"/>
    <mergeCell ref="K1151:L1151"/>
    <mergeCell ref="E1148:H1148"/>
    <mergeCell ref="I1148:J1148"/>
    <mergeCell ref="K1148:L1148"/>
    <mergeCell ref="E1149:H1149"/>
    <mergeCell ref="I1149:J1149"/>
    <mergeCell ref="K1149:L1149"/>
    <mergeCell ref="E1158:H1158"/>
    <mergeCell ref="I1158:J1158"/>
    <mergeCell ref="K1158:L1158"/>
    <mergeCell ref="E1159:H1159"/>
    <mergeCell ref="I1159:J1159"/>
    <mergeCell ref="K1159:L1159"/>
    <mergeCell ref="E1156:H1156"/>
    <mergeCell ref="I1156:J1156"/>
    <mergeCell ref="K1156:L1156"/>
    <mergeCell ref="E1157:H1157"/>
    <mergeCell ref="I1157:J1157"/>
    <mergeCell ref="K1157:L1157"/>
    <mergeCell ref="E1154:H1154"/>
    <mergeCell ref="I1154:J1154"/>
    <mergeCell ref="K1154:L1154"/>
    <mergeCell ref="E1155:H1155"/>
    <mergeCell ref="I1155:J1155"/>
    <mergeCell ref="K1155:L1155"/>
    <mergeCell ref="E1164:H1164"/>
    <mergeCell ref="I1164:J1164"/>
    <mergeCell ref="K1164:L1164"/>
    <mergeCell ref="E1165:H1165"/>
    <mergeCell ref="I1165:J1165"/>
    <mergeCell ref="K1165:L1165"/>
    <mergeCell ref="E1162:H1162"/>
    <mergeCell ref="I1162:J1162"/>
    <mergeCell ref="K1162:L1162"/>
    <mergeCell ref="E1163:H1163"/>
    <mergeCell ref="I1163:J1163"/>
    <mergeCell ref="K1163:L1163"/>
    <mergeCell ref="E1160:H1160"/>
    <mergeCell ref="I1160:J1160"/>
    <mergeCell ref="K1160:L1160"/>
    <mergeCell ref="E1161:H1161"/>
    <mergeCell ref="I1161:J1161"/>
    <mergeCell ref="K1161:L1161"/>
    <mergeCell ref="E1170:H1170"/>
    <mergeCell ref="I1170:J1170"/>
    <mergeCell ref="K1170:L1170"/>
    <mergeCell ref="E1171:H1171"/>
    <mergeCell ref="I1171:J1171"/>
    <mergeCell ref="K1171:L1171"/>
    <mergeCell ref="E1168:H1168"/>
    <mergeCell ref="I1168:J1168"/>
    <mergeCell ref="K1168:L1168"/>
    <mergeCell ref="E1169:H1169"/>
    <mergeCell ref="I1169:J1169"/>
    <mergeCell ref="K1169:L1169"/>
    <mergeCell ref="E1166:H1166"/>
    <mergeCell ref="I1166:J1166"/>
    <mergeCell ref="K1166:L1166"/>
    <mergeCell ref="E1167:H1167"/>
    <mergeCell ref="I1167:J1167"/>
    <mergeCell ref="K1167:L1167"/>
    <mergeCell ref="E1176:H1176"/>
    <mergeCell ref="I1176:J1176"/>
    <mergeCell ref="K1176:L1176"/>
    <mergeCell ref="E1177:H1177"/>
    <mergeCell ref="I1177:J1177"/>
    <mergeCell ref="K1177:L1177"/>
    <mergeCell ref="E1174:H1174"/>
    <mergeCell ref="I1174:J1174"/>
    <mergeCell ref="K1174:L1174"/>
    <mergeCell ref="E1175:H1175"/>
    <mergeCell ref="I1175:J1175"/>
    <mergeCell ref="K1175:L1175"/>
    <mergeCell ref="E1172:H1172"/>
    <mergeCell ref="I1172:J1172"/>
    <mergeCell ref="K1172:L1172"/>
    <mergeCell ref="E1173:H1173"/>
    <mergeCell ref="I1173:J1173"/>
    <mergeCell ref="K1173:L1173"/>
    <mergeCell ref="E1190:H1190"/>
    <mergeCell ref="I1190:J1190"/>
    <mergeCell ref="K1190:L1190"/>
    <mergeCell ref="E1191:H1191"/>
    <mergeCell ref="I1191:J1191"/>
    <mergeCell ref="K1191:L1191"/>
    <mergeCell ref="C1183:I1183"/>
    <mergeCell ref="C1185:E1185"/>
    <mergeCell ref="C1187:E1187"/>
    <mergeCell ref="G1187:K1187"/>
    <mergeCell ref="E1189:H1189"/>
    <mergeCell ref="I1189:J1189"/>
    <mergeCell ref="K1189:L1189"/>
    <mergeCell ref="E1178:H1178"/>
    <mergeCell ref="I1178:J1178"/>
    <mergeCell ref="K1178:L1178"/>
    <mergeCell ref="E1179:H1179"/>
    <mergeCell ref="I1179:J1179"/>
    <mergeCell ref="K1179:L1179"/>
    <mergeCell ref="C1199:I1199"/>
    <mergeCell ref="C1201:E1201"/>
    <mergeCell ref="C1203:E1203"/>
    <mergeCell ref="G1203:K1203"/>
    <mergeCell ref="E1205:H1205"/>
    <mergeCell ref="I1205:J1205"/>
    <mergeCell ref="K1205:L1205"/>
    <mergeCell ref="E1194:H1194"/>
    <mergeCell ref="I1194:J1194"/>
    <mergeCell ref="K1194:L1194"/>
    <mergeCell ref="E1195:H1195"/>
    <mergeCell ref="I1195:J1195"/>
    <mergeCell ref="K1195:L1195"/>
    <mergeCell ref="E1192:H1192"/>
    <mergeCell ref="I1192:J1192"/>
    <mergeCell ref="K1192:L1192"/>
    <mergeCell ref="E1193:H1193"/>
    <mergeCell ref="I1193:J1193"/>
    <mergeCell ref="K1193:L1193"/>
    <mergeCell ref="E1210:H1210"/>
    <mergeCell ref="I1210:J1210"/>
    <mergeCell ref="K1210:L1210"/>
    <mergeCell ref="E1211:H1211"/>
    <mergeCell ref="I1211:J1211"/>
    <mergeCell ref="K1211:L1211"/>
    <mergeCell ref="E1208:H1208"/>
    <mergeCell ref="I1208:J1208"/>
    <mergeCell ref="K1208:L1208"/>
    <mergeCell ref="E1209:H1209"/>
    <mergeCell ref="I1209:J1209"/>
    <mergeCell ref="K1209:L1209"/>
    <mergeCell ref="E1206:H1206"/>
    <mergeCell ref="I1206:J1206"/>
    <mergeCell ref="K1206:L1206"/>
    <mergeCell ref="E1207:H1207"/>
    <mergeCell ref="I1207:J1207"/>
    <mergeCell ref="K1207:L1207"/>
    <mergeCell ref="E1216:H1216"/>
    <mergeCell ref="I1216:J1216"/>
    <mergeCell ref="K1216:L1216"/>
    <mergeCell ref="E1217:H1217"/>
    <mergeCell ref="I1217:J1217"/>
    <mergeCell ref="K1217:L1217"/>
    <mergeCell ref="E1214:H1214"/>
    <mergeCell ref="I1214:J1214"/>
    <mergeCell ref="K1214:L1214"/>
    <mergeCell ref="E1215:H1215"/>
    <mergeCell ref="I1215:J1215"/>
    <mergeCell ref="K1215:L1215"/>
    <mergeCell ref="E1212:H1212"/>
    <mergeCell ref="I1212:J1212"/>
    <mergeCell ref="K1212:L1212"/>
    <mergeCell ref="E1213:H1213"/>
    <mergeCell ref="I1213:J1213"/>
    <mergeCell ref="K1213:L1213"/>
    <mergeCell ref="E1222:H1222"/>
    <mergeCell ref="I1222:J1222"/>
    <mergeCell ref="K1222:L1222"/>
    <mergeCell ref="E1223:H1223"/>
    <mergeCell ref="I1223:J1223"/>
    <mergeCell ref="K1223:L1223"/>
    <mergeCell ref="E1220:H1220"/>
    <mergeCell ref="I1220:J1220"/>
    <mergeCell ref="K1220:L1220"/>
    <mergeCell ref="E1221:H1221"/>
    <mergeCell ref="I1221:J1221"/>
    <mergeCell ref="K1221:L1221"/>
    <mergeCell ref="E1218:H1218"/>
    <mergeCell ref="I1218:J1218"/>
    <mergeCell ref="K1218:L1218"/>
    <mergeCell ref="E1219:H1219"/>
    <mergeCell ref="I1219:J1219"/>
    <mergeCell ref="K1219:L1219"/>
    <mergeCell ref="E1228:H1228"/>
    <mergeCell ref="I1228:J1228"/>
    <mergeCell ref="K1228:L1228"/>
    <mergeCell ref="E1229:H1229"/>
    <mergeCell ref="I1229:J1229"/>
    <mergeCell ref="K1229:L1229"/>
    <mergeCell ref="E1226:H1226"/>
    <mergeCell ref="I1226:J1226"/>
    <mergeCell ref="K1226:L1226"/>
    <mergeCell ref="E1227:H1227"/>
    <mergeCell ref="I1227:J1227"/>
    <mergeCell ref="K1227:L1227"/>
    <mergeCell ref="E1224:H1224"/>
    <mergeCell ref="I1224:J1224"/>
    <mergeCell ref="K1224:L1224"/>
    <mergeCell ref="E1225:H1225"/>
    <mergeCell ref="I1225:J1225"/>
    <mergeCell ref="K1225:L1225"/>
    <mergeCell ref="F1242:I1242"/>
    <mergeCell ref="J1242:K1242"/>
    <mergeCell ref="L1242:M1242"/>
    <mergeCell ref="F1243:I1243"/>
    <mergeCell ref="J1243:K1243"/>
    <mergeCell ref="L1243:M1243"/>
    <mergeCell ref="F1240:I1240"/>
    <mergeCell ref="J1240:K1240"/>
    <mergeCell ref="L1240:M1240"/>
    <mergeCell ref="F1241:I1241"/>
    <mergeCell ref="J1241:K1241"/>
    <mergeCell ref="L1241:M1241"/>
    <mergeCell ref="D1233:J1233"/>
    <mergeCell ref="D1235:F1235"/>
    <mergeCell ref="D1237:F1237"/>
    <mergeCell ref="H1237:L1237"/>
    <mergeCell ref="F1239:I1239"/>
    <mergeCell ref="J1239:K1239"/>
    <mergeCell ref="L1239:M1239"/>
    <mergeCell ref="F1248:I1248"/>
    <mergeCell ref="J1248:K1248"/>
    <mergeCell ref="L1248:M1248"/>
    <mergeCell ref="F1249:I1249"/>
    <mergeCell ref="J1249:K1249"/>
    <mergeCell ref="L1249:M1249"/>
    <mergeCell ref="F1246:I1246"/>
    <mergeCell ref="J1246:K1246"/>
    <mergeCell ref="L1246:M1246"/>
    <mergeCell ref="F1247:I1247"/>
    <mergeCell ref="J1247:K1247"/>
    <mergeCell ref="L1247:M1247"/>
    <mergeCell ref="F1244:I1244"/>
    <mergeCell ref="J1244:K1244"/>
    <mergeCell ref="L1244:M1244"/>
    <mergeCell ref="F1245:I1245"/>
    <mergeCell ref="J1245:K1245"/>
    <mergeCell ref="L1245:M1245"/>
    <mergeCell ref="F1254:I1254"/>
    <mergeCell ref="J1254:K1254"/>
    <mergeCell ref="L1254:M1254"/>
    <mergeCell ref="F1255:I1255"/>
    <mergeCell ref="J1255:K1255"/>
    <mergeCell ref="L1255:M1255"/>
    <mergeCell ref="F1252:I1252"/>
    <mergeCell ref="J1252:K1252"/>
    <mergeCell ref="L1252:M1252"/>
    <mergeCell ref="F1253:I1253"/>
    <mergeCell ref="J1253:K1253"/>
    <mergeCell ref="L1253:M1253"/>
    <mergeCell ref="F1250:I1250"/>
    <mergeCell ref="J1250:K1250"/>
    <mergeCell ref="L1250:M1250"/>
    <mergeCell ref="F1251:I1251"/>
    <mergeCell ref="J1251:K1251"/>
    <mergeCell ref="L1251:M1251"/>
    <mergeCell ref="F1260:I1260"/>
    <mergeCell ref="J1260:K1260"/>
    <mergeCell ref="L1260:M1260"/>
    <mergeCell ref="F1261:I1261"/>
    <mergeCell ref="J1261:K1261"/>
    <mergeCell ref="L1261:M1261"/>
    <mergeCell ref="F1258:I1258"/>
    <mergeCell ref="J1258:K1258"/>
    <mergeCell ref="L1258:M1258"/>
    <mergeCell ref="F1259:I1259"/>
    <mergeCell ref="J1259:K1259"/>
    <mergeCell ref="L1259:M1259"/>
    <mergeCell ref="F1256:I1256"/>
    <mergeCell ref="J1256:K1256"/>
    <mergeCell ref="L1256:M1256"/>
    <mergeCell ref="F1257:I1257"/>
    <mergeCell ref="J1257:K1257"/>
    <mergeCell ref="L1257:M1257"/>
    <mergeCell ref="F1274:I1274"/>
    <mergeCell ref="J1274:K1274"/>
    <mergeCell ref="L1274:M1274"/>
    <mergeCell ref="F1275:I1275"/>
    <mergeCell ref="J1275:K1275"/>
    <mergeCell ref="L1275:M1275"/>
    <mergeCell ref="D1267:J1267"/>
    <mergeCell ref="D1269:F1269"/>
    <mergeCell ref="D1271:F1271"/>
    <mergeCell ref="H1271:L1271"/>
    <mergeCell ref="F1273:I1273"/>
    <mergeCell ref="J1273:K1273"/>
    <mergeCell ref="L1273:M1273"/>
    <mergeCell ref="F1262:I1262"/>
    <mergeCell ref="J1262:K1262"/>
    <mergeCell ref="L1262:M1262"/>
    <mergeCell ref="F1263:I1263"/>
    <mergeCell ref="J1263:K1263"/>
    <mergeCell ref="L1263:M1263"/>
    <mergeCell ref="F1280:I1280"/>
    <mergeCell ref="J1280:K1280"/>
    <mergeCell ref="L1280:M1280"/>
    <mergeCell ref="F1281:I1281"/>
    <mergeCell ref="J1281:K1281"/>
    <mergeCell ref="L1281:M1281"/>
    <mergeCell ref="F1278:I1278"/>
    <mergeCell ref="J1278:K1278"/>
    <mergeCell ref="L1278:M1278"/>
    <mergeCell ref="F1279:I1279"/>
    <mergeCell ref="J1279:K1279"/>
    <mergeCell ref="L1279:M1279"/>
    <mergeCell ref="F1276:I1276"/>
    <mergeCell ref="J1276:K1276"/>
    <mergeCell ref="L1276:M1276"/>
    <mergeCell ref="F1277:I1277"/>
    <mergeCell ref="J1277:K1277"/>
    <mergeCell ref="L1277:M1277"/>
    <mergeCell ref="F1294:I1294"/>
    <mergeCell ref="J1294:K1294"/>
    <mergeCell ref="L1294:M1294"/>
    <mergeCell ref="F1295:I1295"/>
    <mergeCell ref="J1295:K1295"/>
    <mergeCell ref="L1295:M1295"/>
    <mergeCell ref="F1292:I1292"/>
    <mergeCell ref="J1292:K1292"/>
    <mergeCell ref="L1292:M1292"/>
    <mergeCell ref="F1293:I1293"/>
    <mergeCell ref="J1293:K1293"/>
    <mergeCell ref="L1293:M1293"/>
    <mergeCell ref="F1282:I1282"/>
    <mergeCell ref="J1282:K1282"/>
    <mergeCell ref="L1282:M1282"/>
    <mergeCell ref="D1286:J1286"/>
    <mergeCell ref="D1288:F1288"/>
    <mergeCell ref="D1290:F1290"/>
    <mergeCell ref="H1290:L1290"/>
    <mergeCell ref="F1300:I1300"/>
    <mergeCell ref="J1300:K1300"/>
    <mergeCell ref="L1300:M1300"/>
    <mergeCell ref="F1301:I1301"/>
    <mergeCell ref="J1301:K1301"/>
    <mergeCell ref="L1301:M1301"/>
    <mergeCell ref="F1298:I1298"/>
    <mergeCell ref="J1298:K1298"/>
    <mergeCell ref="L1298:M1298"/>
    <mergeCell ref="F1299:I1299"/>
    <mergeCell ref="J1299:K1299"/>
    <mergeCell ref="L1299:M1299"/>
    <mergeCell ref="F1296:I1296"/>
    <mergeCell ref="J1296:K1296"/>
    <mergeCell ref="L1296:M1296"/>
    <mergeCell ref="F1297:I1297"/>
    <mergeCell ref="J1297:K1297"/>
    <mergeCell ref="L1297:M1297"/>
    <mergeCell ref="F1306:I1306"/>
    <mergeCell ref="J1306:K1306"/>
    <mergeCell ref="L1306:M1306"/>
    <mergeCell ref="F1307:I1307"/>
    <mergeCell ref="J1307:K1307"/>
    <mergeCell ref="L1307:M1307"/>
    <mergeCell ref="F1304:I1304"/>
    <mergeCell ref="J1304:K1304"/>
    <mergeCell ref="L1304:M1304"/>
    <mergeCell ref="F1305:I1305"/>
    <mergeCell ref="J1305:K1305"/>
    <mergeCell ref="L1305:M1305"/>
    <mergeCell ref="F1302:I1302"/>
    <mergeCell ref="J1302:K1302"/>
    <mergeCell ref="L1302:M1302"/>
    <mergeCell ref="F1303:I1303"/>
    <mergeCell ref="J1303:K1303"/>
    <mergeCell ref="L1303:M1303"/>
    <mergeCell ref="F1321:I1321"/>
    <mergeCell ref="J1321:K1321"/>
    <mergeCell ref="L1321:M1321"/>
    <mergeCell ref="F1322:I1322"/>
    <mergeCell ref="J1322:K1322"/>
    <mergeCell ref="L1322:M1322"/>
    <mergeCell ref="F1319:I1319"/>
    <mergeCell ref="J1319:K1319"/>
    <mergeCell ref="L1319:M1319"/>
    <mergeCell ref="F1320:I1320"/>
    <mergeCell ref="J1320:K1320"/>
    <mergeCell ref="L1320:M1320"/>
    <mergeCell ref="D1312:J1312"/>
    <mergeCell ref="D1314:F1314"/>
    <mergeCell ref="D1316:F1316"/>
    <mergeCell ref="H1316:L1316"/>
    <mergeCell ref="F1318:I1318"/>
    <mergeCell ref="J1318:K1318"/>
    <mergeCell ref="L1318:M1318"/>
    <mergeCell ref="F1335:I1335"/>
    <mergeCell ref="J1335:K1335"/>
    <mergeCell ref="L1335:M1335"/>
    <mergeCell ref="F1336:I1336"/>
    <mergeCell ref="J1336:K1336"/>
    <mergeCell ref="L1336:M1336"/>
    <mergeCell ref="D1328:J1328"/>
    <mergeCell ref="D1330:F1330"/>
    <mergeCell ref="D1332:F1332"/>
    <mergeCell ref="H1332:L1332"/>
    <mergeCell ref="F1334:I1334"/>
    <mergeCell ref="J1334:K1334"/>
    <mergeCell ref="L1334:M1334"/>
    <mergeCell ref="F1323:I1323"/>
    <mergeCell ref="J1323:K1323"/>
    <mergeCell ref="L1323:M1323"/>
    <mergeCell ref="F1324:I1324"/>
    <mergeCell ref="J1324:K1324"/>
    <mergeCell ref="L1324:M1324"/>
    <mergeCell ref="F1341:I1341"/>
    <mergeCell ref="J1341:K1341"/>
    <mergeCell ref="L1341:M1341"/>
    <mergeCell ref="F1342:I1342"/>
    <mergeCell ref="J1342:K1342"/>
    <mergeCell ref="L1342:M1342"/>
    <mergeCell ref="F1339:I1339"/>
    <mergeCell ref="J1339:K1339"/>
    <mergeCell ref="L1339:M1339"/>
    <mergeCell ref="F1340:I1340"/>
    <mergeCell ref="J1340:K1340"/>
    <mergeCell ref="L1340:M1340"/>
    <mergeCell ref="F1337:I1337"/>
    <mergeCell ref="J1337:K1337"/>
    <mergeCell ref="L1337:M1337"/>
    <mergeCell ref="F1338:I1338"/>
    <mergeCell ref="J1338:K1338"/>
    <mergeCell ref="L1338:M1338"/>
    <mergeCell ref="F1347:I1347"/>
    <mergeCell ref="J1347:K1347"/>
    <mergeCell ref="L1347:M1347"/>
    <mergeCell ref="F1348:I1348"/>
    <mergeCell ref="J1348:K1348"/>
    <mergeCell ref="L1348:M1348"/>
    <mergeCell ref="F1345:I1345"/>
    <mergeCell ref="J1345:K1345"/>
    <mergeCell ref="L1345:M1345"/>
    <mergeCell ref="F1346:I1346"/>
    <mergeCell ref="J1346:K1346"/>
    <mergeCell ref="L1346:M1346"/>
    <mergeCell ref="F1343:I1343"/>
    <mergeCell ref="J1343:K1343"/>
    <mergeCell ref="L1343:M1343"/>
    <mergeCell ref="F1344:I1344"/>
    <mergeCell ref="J1344:K1344"/>
    <mergeCell ref="L1344:M1344"/>
    <mergeCell ref="D1357:J1357"/>
    <mergeCell ref="D1359:F1359"/>
    <mergeCell ref="D1361:F1361"/>
    <mergeCell ref="H1361:L1361"/>
    <mergeCell ref="F1363:I1363"/>
    <mergeCell ref="J1363:K1363"/>
    <mergeCell ref="L1363:M1363"/>
    <mergeCell ref="F1351:I1351"/>
    <mergeCell ref="J1351:K1351"/>
    <mergeCell ref="L1351:M1351"/>
    <mergeCell ref="F1352:I1352"/>
    <mergeCell ref="J1352:K1352"/>
    <mergeCell ref="L1352:M1352"/>
    <mergeCell ref="F1349:I1349"/>
    <mergeCell ref="J1349:K1349"/>
    <mergeCell ref="L1349:M1349"/>
    <mergeCell ref="F1350:I1350"/>
    <mergeCell ref="J1350:K1350"/>
    <mergeCell ref="L1350:M1350"/>
    <mergeCell ref="F1370:I1370"/>
    <mergeCell ref="J1370:K1370"/>
    <mergeCell ref="L1370:M1370"/>
    <mergeCell ref="P1370:P1372"/>
    <mergeCell ref="W1370:W1372"/>
    <mergeCell ref="J1371:K1371"/>
    <mergeCell ref="L1371:M1371"/>
    <mergeCell ref="J1372:K1372"/>
    <mergeCell ref="L1372:M1372"/>
    <mergeCell ref="F1367:I1367"/>
    <mergeCell ref="J1367:K1367"/>
    <mergeCell ref="L1367:M1367"/>
    <mergeCell ref="P1367:P1369"/>
    <mergeCell ref="W1367:W1369"/>
    <mergeCell ref="L1368:M1368"/>
    <mergeCell ref="L1369:M1369"/>
    <mergeCell ref="F1364:I1364"/>
    <mergeCell ref="J1364:K1364"/>
    <mergeCell ref="L1364:M1364"/>
    <mergeCell ref="P1364:P1366"/>
    <mergeCell ref="W1364:W1366"/>
    <mergeCell ref="L1365:M1365"/>
    <mergeCell ref="L1366:M1366"/>
    <mergeCell ref="F1379:I1379"/>
    <mergeCell ref="J1379:K1379"/>
    <mergeCell ref="L1379:M1379"/>
    <mergeCell ref="P1379:P1381"/>
    <mergeCell ref="W1379:W1381"/>
    <mergeCell ref="L1380:M1380"/>
    <mergeCell ref="L1381:M1381"/>
    <mergeCell ref="F1376:I1376"/>
    <mergeCell ref="J1376:K1376"/>
    <mergeCell ref="L1376:M1376"/>
    <mergeCell ref="P1376:P1378"/>
    <mergeCell ref="W1376:W1378"/>
    <mergeCell ref="L1377:M1377"/>
    <mergeCell ref="L1378:M1378"/>
    <mergeCell ref="F1373:I1373"/>
    <mergeCell ref="J1373:K1373"/>
    <mergeCell ref="L1373:M1373"/>
    <mergeCell ref="P1373:P1375"/>
    <mergeCell ref="W1373:W1375"/>
    <mergeCell ref="L1374:M1374"/>
    <mergeCell ref="L1375:M1375"/>
    <mergeCell ref="F1394:I1394"/>
    <mergeCell ref="J1394:K1394"/>
    <mergeCell ref="L1394:M1394"/>
    <mergeCell ref="F1395:I1395"/>
    <mergeCell ref="J1395:K1395"/>
    <mergeCell ref="L1395:M1395"/>
    <mergeCell ref="F1392:I1392"/>
    <mergeCell ref="J1392:K1392"/>
    <mergeCell ref="L1392:M1392"/>
    <mergeCell ref="F1393:I1393"/>
    <mergeCell ref="J1393:K1393"/>
    <mergeCell ref="L1393:M1393"/>
    <mergeCell ref="D1385:J1385"/>
    <mergeCell ref="D1387:F1387"/>
    <mergeCell ref="D1389:F1389"/>
    <mergeCell ref="H1389:L1389"/>
    <mergeCell ref="F1391:I1391"/>
    <mergeCell ref="J1391:K1391"/>
    <mergeCell ref="L1391:M1391"/>
    <mergeCell ref="F1400:I1400"/>
    <mergeCell ref="J1400:K1400"/>
    <mergeCell ref="L1400:M1400"/>
    <mergeCell ref="D1404:J1404"/>
    <mergeCell ref="D1406:F1406"/>
    <mergeCell ref="D1408:F1408"/>
    <mergeCell ref="H1408:L1408"/>
    <mergeCell ref="F1398:I1398"/>
    <mergeCell ref="J1398:K1398"/>
    <mergeCell ref="L1398:M1398"/>
    <mergeCell ref="F1399:I1399"/>
    <mergeCell ref="J1399:K1399"/>
    <mergeCell ref="L1399:M1399"/>
    <mergeCell ref="F1396:I1396"/>
    <mergeCell ref="J1396:K1396"/>
    <mergeCell ref="L1396:M1396"/>
    <mergeCell ref="F1397:I1397"/>
    <mergeCell ref="J1397:K1397"/>
    <mergeCell ref="L1397:M1397"/>
    <mergeCell ref="F1414:I1414"/>
    <mergeCell ref="J1414:K1414"/>
    <mergeCell ref="L1414:M1414"/>
    <mergeCell ref="F1415:I1415"/>
    <mergeCell ref="J1415:K1415"/>
    <mergeCell ref="L1415:M1415"/>
    <mergeCell ref="F1412:I1412"/>
    <mergeCell ref="J1412:K1412"/>
    <mergeCell ref="L1412:M1412"/>
    <mergeCell ref="F1413:I1413"/>
    <mergeCell ref="J1413:K1413"/>
    <mergeCell ref="L1413:M1413"/>
    <mergeCell ref="F1410:I1410"/>
    <mergeCell ref="J1410:K1410"/>
    <mergeCell ref="L1410:M1410"/>
    <mergeCell ref="F1411:I1411"/>
    <mergeCell ref="J1411:K1411"/>
    <mergeCell ref="L1411:M1411"/>
    <mergeCell ref="F1420:I1420"/>
    <mergeCell ref="J1420:K1420"/>
    <mergeCell ref="L1420:M1420"/>
    <mergeCell ref="F1421:I1421"/>
    <mergeCell ref="J1421:K1421"/>
    <mergeCell ref="L1421:M1421"/>
    <mergeCell ref="F1418:I1418"/>
    <mergeCell ref="J1418:K1418"/>
    <mergeCell ref="L1418:M1418"/>
    <mergeCell ref="F1419:I1419"/>
    <mergeCell ref="J1419:K1419"/>
    <mergeCell ref="L1419:M1419"/>
    <mergeCell ref="F1416:I1416"/>
    <mergeCell ref="J1416:K1416"/>
    <mergeCell ref="L1416:M1416"/>
    <mergeCell ref="F1417:I1417"/>
    <mergeCell ref="J1417:K1417"/>
    <mergeCell ref="L1417:M1417"/>
    <mergeCell ref="F1426:I1426"/>
    <mergeCell ref="J1426:K1426"/>
    <mergeCell ref="L1426:M1426"/>
    <mergeCell ref="F1427:I1427"/>
    <mergeCell ref="J1427:K1427"/>
    <mergeCell ref="L1427:M1427"/>
    <mergeCell ref="F1424:I1424"/>
    <mergeCell ref="J1424:K1424"/>
    <mergeCell ref="L1424:M1424"/>
    <mergeCell ref="F1425:I1425"/>
    <mergeCell ref="J1425:K1425"/>
    <mergeCell ref="L1425:M1425"/>
    <mergeCell ref="F1422:I1422"/>
    <mergeCell ref="J1422:K1422"/>
    <mergeCell ref="L1422:M1422"/>
    <mergeCell ref="F1423:I1423"/>
    <mergeCell ref="J1423:K1423"/>
    <mergeCell ref="L1423:M1423"/>
    <mergeCell ref="F1440:I1440"/>
    <mergeCell ref="J1440:K1440"/>
    <mergeCell ref="L1440:M1440"/>
    <mergeCell ref="F1441:I1441"/>
    <mergeCell ref="J1441:K1441"/>
    <mergeCell ref="L1441:M1441"/>
    <mergeCell ref="F1438:I1438"/>
    <mergeCell ref="J1438:K1438"/>
    <mergeCell ref="L1438:M1438"/>
    <mergeCell ref="F1439:I1439"/>
    <mergeCell ref="J1439:K1439"/>
    <mergeCell ref="L1439:M1439"/>
    <mergeCell ref="F1428:I1428"/>
    <mergeCell ref="J1428:K1428"/>
    <mergeCell ref="L1428:M1428"/>
    <mergeCell ref="D1432:J1432"/>
    <mergeCell ref="D1434:F1434"/>
    <mergeCell ref="D1436:F1436"/>
    <mergeCell ref="H1436:L1436"/>
    <mergeCell ref="F1446:I1446"/>
    <mergeCell ref="J1446:K1446"/>
    <mergeCell ref="L1446:M1446"/>
    <mergeCell ref="F1447:I1447"/>
    <mergeCell ref="J1447:K1447"/>
    <mergeCell ref="L1447:M1447"/>
    <mergeCell ref="F1444:I1444"/>
    <mergeCell ref="J1444:K1444"/>
    <mergeCell ref="L1444:M1444"/>
    <mergeCell ref="F1445:I1445"/>
    <mergeCell ref="J1445:K1445"/>
    <mergeCell ref="L1445:M1445"/>
    <mergeCell ref="F1442:I1442"/>
    <mergeCell ref="J1442:K1442"/>
    <mergeCell ref="L1442:M1442"/>
    <mergeCell ref="F1443:I1443"/>
    <mergeCell ref="J1443:K1443"/>
    <mergeCell ref="L1443:M1443"/>
    <mergeCell ref="F1460:I1460"/>
    <mergeCell ref="J1460:K1460"/>
    <mergeCell ref="L1460:M1460"/>
    <mergeCell ref="F1461:I1461"/>
    <mergeCell ref="J1461:K1461"/>
    <mergeCell ref="L1461:M1461"/>
    <mergeCell ref="F1458:I1458"/>
    <mergeCell ref="J1458:K1458"/>
    <mergeCell ref="L1458:M1458"/>
    <mergeCell ref="F1459:I1459"/>
    <mergeCell ref="J1459:K1459"/>
    <mergeCell ref="L1459:M1459"/>
    <mergeCell ref="D1451:J1451"/>
    <mergeCell ref="D1453:F1453"/>
    <mergeCell ref="D1455:F1455"/>
    <mergeCell ref="H1455:L1455"/>
    <mergeCell ref="F1457:I1457"/>
    <mergeCell ref="J1457:K1457"/>
    <mergeCell ref="L1457:M1457"/>
    <mergeCell ref="F1475:I1475"/>
    <mergeCell ref="J1475:K1475"/>
    <mergeCell ref="L1475:M1475"/>
    <mergeCell ref="F1476:I1476"/>
    <mergeCell ref="J1476:K1476"/>
    <mergeCell ref="L1476:M1476"/>
    <mergeCell ref="D1468:J1468"/>
    <mergeCell ref="D1470:F1470"/>
    <mergeCell ref="D1472:F1472"/>
    <mergeCell ref="H1472:L1472"/>
    <mergeCell ref="F1474:I1474"/>
    <mergeCell ref="J1474:K1474"/>
    <mergeCell ref="L1474:M1474"/>
    <mergeCell ref="F1462:I1462"/>
    <mergeCell ref="J1462:K1462"/>
    <mergeCell ref="L1462:M1462"/>
    <mergeCell ref="F1463:I1463"/>
    <mergeCell ref="J1463:K1463"/>
    <mergeCell ref="L1463:M1463"/>
    <mergeCell ref="F1481:I1481"/>
    <mergeCell ref="J1481:K1481"/>
    <mergeCell ref="L1481:M1481"/>
    <mergeCell ref="F1482:I1482"/>
    <mergeCell ref="J1482:K1482"/>
    <mergeCell ref="L1482:M1482"/>
    <mergeCell ref="F1479:I1479"/>
    <mergeCell ref="J1479:K1479"/>
    <mergeCell ref="L1479:M1479"/>
    <mergeCell ref="F1480:I1480"/>
    <mergeCell ref="J1480:K1480"/>
    <mergeCell ref="L1480:M1480"/>
    <mergeCell ref="F1477:I1477"/>
    <mergeCell ref="J1477:K1477"/>
    <mergeCell ref="L1477:M1477"/>
    <mergeCell ref="F1478:I1478"/>
    <mergeCell ref="J1478:K1478"/>
    <mergeCell ref="L1478:M1478"/>
    <mergeCell ref="F1487:I1487"/>
    <mergeCell ref="J1487:K1487"/>
    <mergeCell ref="L1487:M1487"/>
    <mergeCell ref="F1488:I1488"/>
    <mergeCell ref="J1488:K1488"/>
    <mergeCell ref="L1488:M1488"/>
    <mergeCell ref="F1485:I1485"/>
    <mergeCell ref="J1485:K1485"/>
    <mergeCell ref="L1485:M1485"/>
    <mergeCell ref="F1486:I1486"/>
    <mergeCell ref="J1486:K1486"/>
    <mergeCell ref="L1486:M1486"/>
    <mergeCell ref="F1483:I1483"/>
    <mergeCell ref="J1483:K1483"/>
    <mergeCell ref="L1483:M1483"/>
    <mergeCell ref="F1484:I1484"/>
    <mergeCell ref="J1484:K1484"/>
    <mergeCell ref="L1484:M1484"/>
    <mergeCell ref="F1501:I1501"/>
    <mergeCell ref="J1501:K1501"/>
    <mergeCell ref="L1501:M1501"/>
    <mergeCell ref="F1502:I1502"/>
    <mergeCell ref="J1502:K1502"/>
    <mergeCell ref="L1502:M1502"/>
    <mergeCell ref="F1499:I1499"/>
    <mergeCell ref="J1499:K1499"/>
    <mergeCell ref="L1499:M1499"/>
    <mergeCell ref="F1500:I1500"/>
    <mergeCell ref="J1500:K1500"/>
    <mergeCell ref="L1500:M1500"/>
    <mergeCell ref="F1489:I1489"/>
    <mergeCell ref="J1489:K1489"/>
    <mergeCell ref="L1489:M1489"/>
    <mergeCell ref="D1493:J1493"/>
    <mergeCell ref="D1495:F1495"/>
    <mergeCell ref="D1497:F1497"/>
    <mergeCell ref="H1497:L1497"/>
    <mergeCell ref="F1507:I1507"/>
    <mergeCell ref="J1507:K1507"/>
    <mergeCell ref="L1507:M1507"/>
    <mergeCell ref="F1508:I1508"/>
    <mergeCell ref="J1508:K1508"/>
    <mergeCell ref="L1508:M1508"/>
    <mergeCell ref="F1505:I1505"/>
    <mergeCell ref="J1505:K1505"/>
    <mergeCell ref="L1505:M1505"/>
    <mergeCell ref="F1506:I1506"/>
    <mergeCell ref="J1506:K1506"/>
    <mergeCell ref="L1506:M1506"/>
    <mergeCell ref="F1503:I1503"/>
    <mergeCell ref="J1503:K1503"/>
    <mergeCell ref="L1503:M1503"/>
    <mergeCell ref="F1504:I1504"/>
    <mergeCell ref="J1504:K1504"/>
    <mergeCell ref="L1504:M1504"/>
    <mergeCell ref="F1513:I1513"/>
    <mergeCell ref="J1513:K1513"/>
    <mergeCell ref="L1513:M1513"/>
    <mergeCell ref="F1514:I1514"/>
    <mergeCell ref="J1514:K1514"/>
    <mergeCell ref="L1514:M1514"/>
    <mergeCell ref="F1511:I1511"/>
    <mergeCell ref="J1511:K1511"/>
    <mergeCell ref="L1511:M1511"/>
    <mergeCell ref="F1512:I1512"/>
    <mergeCell ref="J1512:K1512"/>
    <mergeCell ref="L1512:M1512"/>
    <mergeCell ref="F1509:I1509"/>
    <mergeCell ref="J1509:K1509"/>
    <mergeCell ref="L1509:M1509"/>
    <mergeCell ref="F1510:I1510"/>
    <mergeCell ref="J1510:K1510"/>
    <mergeCell ref="L1510:M1510"/>
    <mergeCell ref="F1527:I1527"/>
    <mergeCell ref="J1527:K1527"/>
    <mergeCell ref="L1527:M1527"/>
    <mergeCell ref="F1528:I1528"/>
    <mergeCell ref="J1528:K1528"/>
    <mergeCell ref="L1528:M1528"/>
    <mergeCell ref="F1517:I1517"/>
    <mergeCell ref="J1517:K1517"/>
    <mergeCell ref="L1517:M1517"/>
    <mergeCell ref="D1521:J1521"/>
    <mergeCell ref="D1523:F1523"/>
    <mergeCell ref="D1525:F1525"/>
    <mergeCell ref="H1525:L1525"/>
    <mergeCell ref="F1515:I1515"/>
    <mergeCell ref="J1515:K1515"/>
    <mergeCell ref="L1515:M1515"/>
    <mergeCell ref="F1516:I1516"/>
    <mergeCell ref="J1516:K1516"/>
    <mergeCell ref="L1516:M1516"/>
    <mergeCell ref="F1533:I1533"/>
    <mergeCell ref="J1533:K1533"/>
    <mergeCell ref="L1533:M1533"/>
    <mergeCell ref="E1538:K1538"/>
    <mergeCell ref="E1540:G1540"/>
    <mergeCell ref="E1542:G1542"/>
    <mergeCell ref="I1542:M1542"/>
    <mergeCell ref="F1531:I1531"/>
    <mergeCell ref="J1531:K1531"/>
    <mergeCell ref="L1531:M1531"/>
    <mergeCell ref="F1532:I1532"/>
    <mergeCell ref="J1532:K1532"/>
    <mergeCell ref="L1532:M1532"/>
    <mergeCell ref="F1529:I1529"/>
    <mergeCell ref="J1529:K1529"/>
    <mergeCell ref="L1529:M1529"/>
    <mergeCell ref="F1530:I1530"/>
    <mergeCell ref="J1530:K1530"/>
    <mergeCell ref="L1530:M1530"/>
    <mergeCell ref="G1548:J1548"/>
    <mergeCell ref="K1548:L1548"/>
    <mergeCell ref="M1548:N1548"/>
    <mergeCell ref="G1549:J1549"/>
    <mergeCell ref="K1549:L1549"/>
    <mergeCell ref="M1549:N1549"/>
    <mergeCell ref="G1546:J1546"/>
    <mergeCell ref="K1546:L1546"/>
    <mergeCell ref="M1546:N1546"/>
    <mergeCell ref="G1547:J1547"/>
    <mergeCell ref="K1547:L1547"/>
    <mergeCell ref="M1547:N1547"/>
    <mergeCell ref="G1544:J1544"/>
    <mergeCell ref="K1544:L1544"/>
    <mergeCell ref="M1544:N1544"/>
    <mergeCell ref="G1545:J1545"/>
    <mergeCell ref="K1545:L1545"/>
    <mergeCell ref="M1545:N1545"/>
    <mergeCell ref="G1554:J1554"/>
    <mergeCell ref="K1554:L1554"/>
    <mergeCell ref="M1554:N1554"/>
    <mergeCell ref="G1555:J1555"/>
    <mergeCell ref="K1555:L1555"/>
    <mergeCell ref="M1555:N1555"/>
    <mergeCell ref="G1552:J1552"/>
    <mergeCell ref="K1552:L1552"/>
    <mergeCell ref="M1552:N1552"/>
    <mergeCell ref="G1553:J1553"/>
    <mergeCell ref="K1553:L1553"/>
    <mergeCell ref="M1553:N1553"/>
    <mergeCell ref="G1550:J1550"/>
    <mergeCell ref="K1550:L1550"/>
    <mergeCell ref="M1550:N1550"/>
    <mergeCell ref="G1551:J1551"/>
    <mergeCell ref="K1551:L1551"/>
    <mergeCell ref="M1551:N1551"/>
    <mergeCell ref="G1560:J1560"/>
    <mergeCell ref="K1560:L1560"/>
    <mergeCell ref="M1560:N1560"/>
    <mergeCell ref="G1561:J1561"/>
    <mergeCell ref="K1561:L1561"/>
    <mergeCell ref="M1561:N1561"/>
    <mergeCell ref="G1558:J1558"/>
    <mergeCell ref="K1558:L1558"/>
    <mergeCell ref="M1558:N1558"/>
    <mergeCell ref="G1559:J1559"/>
    <mergeCell ref="K1559:L1559"/>
    <mergeCell ref="M1559:N1559"/>
    <mergeCell ref="G1556:J1556"/>
    <mergeCell ref="K1556:L1556"/>
    <mergeCell ref="M1556:N1556"/>
    <mergeCell ref="G1557:J1557"/>
    <mergeCell ref="K1557:L1557"/>
    <mergeCell ref="M1557:N1557"/>
    <mergeCell ref="G1566:J1566"/>
    <mergeCell ref="K1566:L1566"/>
    <mergeCell ref="M1566:N1566"/>
    <mergeCell ref="G1567:J1567"/>
    <mergeCell ref="K1567:L1567"/>
    <mergeCell ref="M1567:N1567"/>
    <mergeCell ref="G1564:J1564"/>
    <mergeCell ref="K1564:L1564"/>
    <mergeCell ref="M1564:N1564"/>
    <mergeCell ref="G1565:J1565"/>
    <mergeCell ref="K1565:L1565"/>
    <mergeCell ref="M1565:N1565"/>
    <mergeCell ref="G1562:J1562"/>
    <mergeCell ref="K1562:L1562"/>
    <mergeCell ref="M1562:N1562"/>
    <mergeCell ref="G1563:J1563"/>
    <mergeCell ref="K1563:L1563"/>
    <mergeCell ref="M1563:N1563"/>
    <mergeCell ref="G1572:J1572"/>
    <mergeCell ref="K1572:L1572"/>
    <mergeCell ref="M1572:N1572"/>
    <mergeCell ref="G1573:J1573"/>
    <mergeCell ref="K1573:L1573"/>
    <mergeCell ref="M1573:N1573"/>
    <mergeCell ref="G1570:J1570"/>
    <mergeCell ref="K1570:L1570"/>
    <mergeCell ref="M1570:N1570"/>
    <mergeCell ref="G1571:J1571"/>
    <mergeCell ref="K1571:L1571"/>
    <mergeCell ref="M1571:N1571"/>
    <mergeCell ref="G1568:J1568"/>
    <mergeCell ref="K1568:L1568"/>
    <mergeCell ref="M1568:N1568"/>
    <mergeCell ref="G1569:J1569"/>
    <mergeCell ref="K1569:L1569"/>
    <mergeCell ref="M1569:N15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1"/>
  <sheetViews>
    <sheetView workbookViewId="0">
      <selection activeCell="J18" sqref="J18"/>
    </sheetView>
  </sheetViews>
  <sheetFormatPr defaultRowHeight="12.75"/>
  <cols>
    <col min="1" max="1" width="4.5703125" customWidth="1"/>
    <col min="2" max="2" width="25" customWidth="1"/>
    <col min="3" max="3" width="15.5703125" customWidth="1"/>
    <col min="4" max="4" width="14.140625" customWidth="1"/>
    <col min="5" max="5" width="19.28515625" customWidth="1"/>
    <col min="6" max="6" width="13.85546875" customWidth="1"/>
  </cols>
  <sheetData>
    <row r="4" spans="1:6">
      <c r="A4" s="1" t="s">
        <v>3212</v>
      </c>
      <c r="B4" s="1" t="s">
        <v>3213</v>
      </c>
      <c r="C4" s="1" t="s">
        <v>3214</v>
      </c>
      <c r="D4" s="1" t="s">
        <v>3215</v>
      </c>
      <c r="E4" s="1" t="s">
        <v>3216</v>
      </c>
      <c r="F4" s="1" t="s">
        <v>3217</v>
      </c>
    </row>
    <row r="5" spans="1:6">
      <c r="A5" s="1"/>
      <c r="B5" s="1">
        <v>600</v>
      </c>
      <c r="C5" s="1">
        <v>601</v>
      </c>
      <c r="D5" s="1">
        <v>602</v>
      </c>
      <c r="E5" s="1">
        <v>606</v>
      </c>
      <c r="F5" s="1">
        <v>606</v>
      </c>
    </row>
    <row r="6" spans="1:6">
      <c r="A6" s="1" t="s">
        <v>3218</v>
      </c>
      <c r="B6" s="651">
        <v>63257270</v>
      </c>
      <c r="C6" s="651">
        <v>11993156</v>
      </c>
      <c r="D6" s="651">
        <v>20641785</v>
      </c>
      <c r="E6" s="651">
        <v>3303110000</v>
      </c>
      <c r="F6" s="651">
        <v>1700000</v>
      </c>
    </row>
    <row r="7" spans="1:6">
      <c r="A7" s="1" t="s">
        <v>3219</v>
      </c>
      <c r="B7" s="651">
        <v>38406189</v>
      </c>
      <c r="C7" s="651">
        <v>6436101</v>
      </c>
      <c r="D7" s="651">
        <v>20574185</v>
      </c>
      <c r="E7" s="651">
        <v>3303110000</v>
      </c>
      <c r="F7" s="651">
        <v>1700000</v>
      </c>
    </row>
    <row r="9" spans="1:6">
      <c r="B9" s="4" t="s">
        <v>3241</v>
      </c>
    </row>
    <row r="11" spans="1:6" ht="30">
      <c r="A11" s="2478" t="s">
        <v>657</v>
      </c>
      <c r="B11" s="2478" t="s">
        <v>3220</v>
      </c>
      <c r="C11" s="2479" t="s">
        <v>3221</v>
      </c>
      <c r="D11" s="2479" t="s">
        <v>3222</v>
      </c>
      <c r="E11" s="2479" t="s">
        <v>3223</v>
      </c>
    </row>
    <row r="12" spans="1:6">
      <c r="A12" s="1">
        <v>1</v>
      </c>
      <c r="B12" s="1" t="s">
        <v>3224</v>
      </c>
      <c r="C12" s="1" t="s">
        <v>3225</v>
      </c>
      <c r="D12" s="651">
        <v>117600</v>
      </c>
      <c r="E12" s="651">
        <v>117600</v>
      </c>
    </row>
    <row r="13" spans="1:6">
      <c r="A13" s="1">
        <v>2</v>
      </c>
      <c r="B13" s="1" t="s">
        <v>1508</v>
      </c>
      <c r="C13" s="1" t="s">
        <v>3225</v>
      </c>
      <c r="D13" s="651">
        <v>45500</v>
      </c>
      <c r="E13" s="651">
        <v>45500</v>
      </c>
    </row>
    <row r="14" spans="1:6" ht="25.5">
      <c r="A14" s="1">
        <v>3</v>
      </c>
      <c r="B14" s="2480" t="s">
        <v>3226</v>
      </c>
      <c r="C14" s="1" t="s">
        <v>3227</v>
      </c>
      <c r="D14" s="651">
        <v>576000</v>
      </c>
      <c r="E14" s="651">
        <v>576000</v>
      </c>
    </row>
    <row r="15" spans="1:6">
      <c r="A15" s="1">
        <v>4</v>
      </c>
      <c r="B15" s="1" t="s">
        <v>3228</v>
      </c>
      <c r="C15" s="1" t="s">
        <v>3229</v>
      </c>
      <c r="D15" s="651">
        <v>629662</v>
      </c>
      <c r="E15" s="651">
        <v>629662</v>
      </c>
    </row>
    <row r="16" spans="1:6">
      <c r="A16" s="1">
        <v>5</v>
      </c>
      <c r="B16" s="1" t="s">
        <v>3230</v>
      </c>
      <c r="C16" s="1" t="s">
        <v>3229</v>
      </c>
      <c r="D16" s="651">
        <v>359806</v>
      </c>
      <c r="E16" s="651">
        <v>359806</v>
      </c>
    </row>
    <row r="17" spans="1:5" ht="25.5">
      <c r="A17" s="1">
        <v>6</v>
      </c>
      <c r="B17" s="2480" t="s">
        <v>3231</v>
      </c>
      <c r="C17" s="1" t="s">
        <v>3232</v>
      </c>
      <c r="D17" s="651">
        <v>258000</v>
      </c>
      <c r="E17" s="651">
        <v>258000</v>
      </c>
    </row>
    <row r="18" spans="1:5">
      <c r="A18" s="1">
        <v>7</v>
      </c>
      <c r="B18" s="1" t="s">
        <v>3233</v>
      </c>
      <c r="C18" s="1" t="s">
        <v>3234</v>
      </c>
      <c r="D18" s="651">
        <v>2659319</v>
      </c>
      <c r="E18" s="651">
        <v>2659319</v>
      </c>
    </row>
    <row r="19" spans="1:5">
      <c r="A19" s="1">
        <v>8</v>
      </c>
      <c r="B19" s="1" t="s">
        <v>3233</v>
      </c>
      <c r="C19" s="1" t="s">
        <v>3235</v>
      </c>
      <c r="D19" s="651">
        <v>1977672</v>
      </c>
      <c r="E19" s="651">
        <v>1977672</v>
      </c>
    </row>
    <row r="20" spans="1:5">
      <c r="A20" s="1">
        <v>9</v>
      </c>
      <c r="B20" s="1" t="s">
        <v>3236</v>
      </c>
      <c r="C20" s="1" t="s">
        <v>3237</v>
      </c>
      <c r="D20" s="651">
        <v>67600</v>
      </c>
      <c r="E20" s="1" t="s">
        <v>3238</v>
      </c>
    </row>
    <row r="21" spans="1:5" ht="25.5">
      <c r="A21" s="1">
        <v>10</v>
      </c>
      <c r="B21" s="2480" t="s">
        <v>3239</v>
      </c>
      <c r="C21" s="1" t="s">
        <v>3240</v>
      </c>
      <c r="D21" s="651">
        <v>2493744</v>
      </c>
      <c r="E21" s="651">
        <v>2369057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3"/>
  <sheetViews>
    <sheetView topLeftCell="A55" workbookViewId="0">
      <selection activeCell="G44" sqref="G44"/>
    </sheetView>
  </sheetViews>
  <sheetFormatPr defaultRowHeight="12.75"/>
  <cols>
    <col min="1" max="1" width="5.7109375" bestFit="1" customWidth="1"/>
    <col min="2" max="2" width="36.85546875" bestFit="1" customWidth="1"/>
    <col min="3" max="4" width="17.7109375" bestFit="1" customWidth="1"/>
    <col min="5" max="5" width="18.28515625" customWidth="1"/>
    <col min="6" max="6" width="8.28515625" customWidth="1"/>
    <col min="7" max="7" width="30.42578125" customWidth="1"/>
    <col min="8" max="8" width="19" customWidth="1"/>
    <col min="9" max="9" width="19.7109375" customWidth="1"/>
  </cols>
  <sheetData>
    <row r="2" spans="1:5" ht="15.75" thickBot="1">
      <c r="A2" s="3022" t="s">
        <v>3242</v>
      </c>
      <c r="B2" s="3022"/>
      <c r="C2" s="3022"/>
      <c r="D2" s="3022"/>
      <c r="E2" s="3022"/>
    </row>
    <row r="3" spans="1:5" ht="15.75" thickBot="1">
      <c r="A3" s="3023" t="s">
        <v>657</v>
      </c>
      <c r="B3" s="3025" t="s">
        <v>2728</v>
      </c>
      <c r="C3" s="2487" t="s">
        <v>2729</v>
      </c>
      <c r="D3" s="2490" t="s">
        <v>146</v>
      </c>
      <c r="E3" s="2498" t="s">
        <v>147</v>
      </c>
    </row>
    <row r="4" spans="1:5" ht="15.75" thickBot="1">
      <c r="A4" s="3024"/>
      <c r="B4" s="3026"/>
      <c r="C4" s="2488" t="s">
        <v>2733</v>
      </c>
      <c r="D4" s="2491" t="s">
        <v>2733</v>
      </c>
      <c r="E4" s="2499" t="s">
        <v>2733</v>
      </c>
    </row>
    <row r="5" spans="1:5" ht="16.5">
      <c r="A5" s="2104">
        <v>1</v>
      </c>
      <c r="B5" s="2105" t="str">
        <f>'[2]Pagat 2022 Limite mujore'!B6</f>
        <v>Shtëp.Moshuarve Tiranë</v>
      </c>
      <c r="C5" s="2106">
        <v>28165000</v>
      </c>
      <c r="D5" s="2107">
        <v>28165000</v>
      </c>
      <c r="E5" s="2108">
        <v>28095214</v>
      </c>
    </row>
    <row r="6" spans="1:5" ht="16.5">
      <c r="A6" s="2121">
        <v>2</v>
      </c>
      <c r="B6" s="2122" t="str">
        <f>'[2]Pagat 2022 Limite mujore'!B7</f>
        <v>Shtëp.Moshuarve Gjirokastër</v>
      </c>
      <c r="C6" s="2106">
        <v>30430000</v>
      </c>
      <c r="D6" s="2123">
        <v>30430000</v>
      </c>
      <c r="E6" s="2108">
        <v>30349361</v>
      </c>
    </row>
    <row r="7" spans="1:5" ht="16.5">
      <c r="A7" s="2104">
        <v>3</v>
      </c>
      <c r="B7" s="2122" t="str">
        <f>'[2]Pagat 2022 Limite mujore'!B8</f>
        <v>Shtëp.Moshuarve Fier</v>
      </c>
      <c r="C7" s="2106">
        <v>30420000</v>
      </c>
      <c r="D7" s="2123">
        <v>30420000</v>
      </c>
      <c r="E7" s="2108">
        <v>30330850</v>
      </c>
    </row>
    <row r="8" spans="1:5" ht="16.5">
      <c r="A8" s="2121">
        <v>4</v>
      </c>
      <c r="B8" s="2122" t="str">
        <f>'[2]Pagat 2022 Limite mujore'!B9</f>
        <v>Shtëp.Moshuarve Kavajë</v>
      </c>
      <c r="C8" s="2106">
        <v>28950000</v>
      </c>
      <c r="D8" s="2123">
        <v>28950000</v>
      </c>
      <c r="E8" s="2108">
        <v>28849567</v>
      </c>
    </row>
    <row r="9" spans="1:5" ht="16.5">
      <c r="A9" s="2104">
        <v>5</v>
      </c>
      <c r="B9" s="2122" t="str">
        <f>'[2]Pagat 2022 Limite mujore'!B10</f>
        <v>Shtëp.Moshuarve Shkodër</v>
      </c>
      <c r="C9" s="2106">
        <v>31270000</v>
      </c>
      <c r="D9" s="2123">
        <v>31270000</v>
      </c>
      <c r="E9" s="2108">
        <v>31166927</v>
      </c>
    </row>
    <row r="10" spans="1:5" ht="16.5">
      <c r="A10" s="2121">
        <v>6</v>
      </c>
      <c r="B10" s="2122" t="str">
        <f>'[2]Pagat 2022 Limite mujore'!B11</f>
        <v>Qendra Polivalente Poliçan</v>
      </c>
      <c r="C10" s="2106">
        <v>18495000</v>
      </c>
      <c r="D10" s="2123">
        <v>18495000</v>
      </c>
      <c r="E10" s="2108">
        <v>18474354</v>
      </c>
    </row>
    <row r="11" spans="1:5" ht="16.5">
      <c r="A11" s="2104">
        <v>7</v>
      </c>
      <c r="B11" s="2122" t="str">
        <f>'[2]Pagat 2022 Limite mujore'!B12</f>
        <v xml:space="preserve">Qendra Komunitare  Palasë </v>
      </c>
      <c r="C11" s="2489">
        <v>760000</v>
      </c>
      <c r="D11" s="2492">
        <v>760000</v>
      </c>
      <c r="E11" s="2500">
        <v>694584</v>
      </c>
    </row>
    <row r="12" spans="1:5" ht="16.5">
      <c r="A12" s="2121">
        <v>8</v>
      </c>
      <c r="B12" s="2122" t="str">
        <f>'[2]Pagat 2022 Limite mujore'!B13</f>
        <v>Qendra Polivalente Sarandë</v>
      </c>
      <c r="C12" s="2489">
        <v>7515000</v>
      </c>
      <c r="D12" s="2492">
        <v>7515000</v>
      </c>
      <c r="E12" s="2500">
        <v>7444893</v>
      </c>
    </row>
    <row r="13" spans="1:5" ht="17.25" thickBot="1">
      <c r="A13" s="2104">
        <v>9</v>
      </c>
      <c r="B13" s="2122" t="str">
        <f>'[2]Pagat 2022 Limite mujore'!B14</f>
        <v>Qendra Ditore Kamëz</v>
      </c>
      <c r="C13" s="2489">
        <v>7130000</v>
      </c>
      <c r="D13" s="2493">
        <v>7130000</v>
      </c>
      <c r="E13" s="2500">
        <v>7082324</v>
      </c>
    </row>
    <row r="14" spans="1:5" ht="17.25" thickBot="1">
      <c r="A14" s="2151"/>
      <c r="B14" s="2152" t="s">
        <v>2739</v>
      </c>
      <c r="C14" s="2153">
        <v>183135000</v>
      </c>
      <c r="D14" s="2153">
        <v>183135000</v>
      </c>
      <c r="E14" s="2153">
        <v>182488074</v>
      </c>
    </row>
    <row r="15" spans="1:5" ht="16.5">
      <c r="A15" s="2104">
        <v>10</v>
      </c>
      <c r="B15" s="2105" t="str">
        <f>'[2]Pagat 2022 Limite mujore'!B15</f>
        <v>Shtëp. Foshnjës Tiranë</v>
      </c>
      <c r="C15" s="2154">
        <v>42010000</v>
      </c>
      <c r="D15" s="2107">
        <v>42010000</v>
      </c>
      <c r="E15" s="2108">
        <v>41923666</v>
      </c>
    </row>
    <row r="16" spans="1:5" ht="16.5">
      <c r="A16" s="2121">
        <v>11</v>
      </c>
      <c r="B16" s="2122" t="str">
        <f>'[2]Pagat 2022 Limite mujore'!B16</f>
        <v>Shtëp. Foshnjës Korçë</v>
      </c>
      <c r="C16" s="2154">
        <v>15590000</v>
      </c>
      <c r="D16" s="2123">
        <v>15590000</v>
      </c>
      <c r="E16" s="2108">
        <v>14884844</v>
      </c>
    </row>
    <row r="17" spans="1:5" ht="16.5">
      <c r="A17" s="2104">
        <v>12</v>
      </c>
      <c r="B17" s="2122" t="str">
        <f>'[2]Pagat 2022 Limite mujore'!B17</f>
        <v>Shtëp. Foshnjës Shkodër</v>
      </c>
      <c r="C17" s="2154">
        <v>14860000</v>
      </c>
      <c r="D17" s="2123">
        <v>14860000</v>
      </c>
      <c r="E17" s="2108">
        <v>14788103</v>
      </c>
    </row>
    <row r="18" spans="1:5" ht="16.5">
      <c r="A18" s="2121">
        <v>13</v>
      </c>
      <c r="B18" s="2122" t="str">
        <f>'[2]Pagat 2022 Limite mujore'!B18</f>
        <v>Shtëp. Foshnjës Durrës</v>
      </c>
      <c r="C18" s="2154">
        <v>26880000</v>
      </c>
      <c r="D18" s="2123">
        <v>26880000</v>
      </c>
      <c r="E18" s="2108">
        <v>26828161.800000001</v>
      </c>
    </row>
    <row r="19" spans="1:5" ht="17.25" thickBot="1">
      <c r="A19" s="2104">
        <v>14</v>
      </c>
      <c r="B19" s="2138" t="str">
        <f>'[2]Pagat 2022 Limite mujore'!B19</f>
        <v>Shtëp. Foshnjës Vlorë</v>
      </c>
      <c r="C19" s="2154">
        <v>19180000</v>
      </c>
      <c r="D19" s="2139">
        <v>19180000</v>
      </c>
      <c r="E19" s="2108">
        <v>18202207</v>
      </c>
    </row>
    <row r="20" spans="1:5" ht="17.25" thickBot="1">
      <c r="A20" s="2151"/>
      <c r="B20" s="2152" t="s">
        <v>2739</v>
      </c>
      <c r="C20" s="2153">
        <v>118520000</v>
      </c>
      <c r="D20" s="2153">
        <v>118520000</v>
      </c>
      <c r="E20" s="2153">
        <v>116626981.8</v>
      </c>
    </row>
    <row r="21" spans="1:5" ht="16.5">
      <c r="A21" s="2104">
        <v>15</v>
      </c>
      <c r="B21" s="2166" t="str">
        <f>'[2]Pagat 2022 Limite mujore'!B20</f>
        <v>Qend. Zhvillimit Tiranë</v>
      </c>
      <c r="C21" s="2154">
        <v>31425000</v>
      </c>
      <c r="D21" s="2107">
        <v>31425000</v>
      </c>
      <c r="E21" s="2108">
        <v>31359686</v>
      </c>
    </row>
    <row r="22" spans="1:5" ht="16.5">
      <c r="A22" s="2121">
        <v>16</v>
      </c>
      <c r="B22" s="2168" t="str">
        <f>'[2]Pagat 2022 Limite mujore'!B21</f>
        <v>Qend. Zhvillimit Durrës</v>
      </c>
      <c r="C22" s="2154">
        <v>34345000</v>
      </c>
      <c r="D22" s="2123">
        <v>34345000</v>
      </c>
      <c r="E22" s="2108">
        <v>34273065</v>
      </c>
    </row>
    <row r="23" spans="1:5" ht="16.5">
      <c r="A23" s="2104">
        <v>17</v>
      </c>
      <c r="B23" s="2168" t="str">
        <f>'[2]Pagat 2022 Limite mujore'!B22</f>
        <v>Qend. Zhvillimit Korçë</v>
      </c>
      <c r="C23" s="2154">
        <v>30610000</v>
      </c>
      <c r="D23" s="2123">
        <v>30610000</v>
      </c>
      <c r="E23" s="2108">
        <v>30499905</v>
      </c>
    </row>
    <row r="24" spans="1:5" ht="16.5">
      <c r="A24" s="2121">
        <v>18</v>
      </c>
      <c r="B24" s="2168" t="str">
        <f>'[2]Pagat 2022 Limite mujore'!B23</f>
        <v>Qend. Zhvillimit Shkodër</v>
      </c>
      <c r="C24" s="2154">
        <v>46410000</v>
      </c>
      <c r="D24" s="2123">
        <v>46410000</v>
      </c>
      <c r="E24" s="2108">
        <v>46095855</v>
      </c>
    </row>
    <row r="25" spans="1:5" ht="16.5">
      <c r="A25" s="2104">
        <v>19</v>
      </c>
      <c r="B25" s="2168" t="str">
        <f>'[2]Pagat 2022 Limite mujore'!B24</f>
        <v>Qend. Zhvillimit Berat</v>
      </c>
      <c r="C25" s="2154">
        <v>23680000</v>
      </c>
      <c r="D25" s="2123">
        <v>23680000</v>
      </c>
      <c r="E25" s="2108">
        <v>23643447</v>
      </c>
    </row>
    <row r="26" spans="1:5" ht="16.5">
      <c r="A26" s="2121">
        <v>20</v>
      </c>
      <c r="B26" s="2168" t="str">
        <f>'[2]Pagat 2022 Limite mujore'!B25</f>
        <v>Qend. Zhvillimit Vlorë</v>
      </c>
      <c r="C26" s="2154">
        <v>20020000</v>
      </c>
      <c r="D26" s="2123">
        <v>20020000</v>
      </c>
      <c r="E26" s="2108">
        <v>19596651</v>
      </c>
    </row>
    <row r="27" spans="1:5" ht="16.5">
      <c r="A27" s="2104">
        <v>21</v>
      </c>
      <c r="B27" s="2168" t="str">
        <f>'[2]Pagat 2022 Limite mujore'!B26</f>
        <v>Qend. Zhvillim Ditor Lezhë</v>
      </c>
      <c r="C27" s="2154">
        <v>10390000</v>
      </c>
      <c r="D27" s="2123">
        <v>10390000</v>
      </c>
      <c r="E27" s="2108">
        <v>10342834</v>
      </c>
    </row>
    <row r="28" spans="1:5" ht="17.25" thickBot="1">
      <c r="A28" s="2121">
        <v>22</v>
      </c>
      <c r="B28" s="2170" t="str">
        <f>'[2]Pagat 2022 Limite mujore'!B27</f>
        <v>Qend. Zhvillim Ditor Korçë</v>
      </c>
      <c r="C28" s="2154">
        <v>7670000</v>
      </c>
      <c r="D28" s="2139">
        <v>7670000</v>
      </c>
      <c r="E28" s="2108">
        <v>7402283</v>
      </c>
    </row>
    <row r="29" spans="1:5" ht="17.25" thickBot="1">
      <c r="A29" s="2151"/>
      <c r="B29" s="2176" t="s">
        <v>2739</v>
      </c>
      <c r="C29" s="2153">
        <v>204550000</v>
      </c>
      <c r="D29" s="2153">
        <v>204550000</v>
      </c>
      <c r="E29" s="2153">
        <v>203213726</v>
      </c>
    </row>
    <row r="30" spans="1:5" ht="16.5">
      <c r="A30" s="2104">
        <v>23</v>
      </c>
      <c r="B30" s="2177" t="str">
        <f>'[2]Pagat 2022 Limite mujore'!B28</f>
        <v>Qen. Pritëse Viktim. Linzë</v>
      </c>
      <c r="C30" s="2154">
        <v>19618000</v>
      </c>
      <c r="D30" s="2107">
        <v>19618000</v>
      </c>
      <c r="E30" s="2108">
        <v>19510227</v>
      </c>
    </row>
    <row r="31" spans="1:5" ht="16.5">
      <c r="A31" s="2121">
        <v>24</v>
      </c>
      <c r="B31" s="2178" t="str">
        <f>'[2]Pagat 2022 Limite mujore'!B29</f>
        <v>Qendra Kombëtare dhunës Familje</v>
      </c>
      <c r="C31" s="2154">
        <v>21785000</v>
      </c>
      <c r="D31" s="2123">
        <v>21785000</v>
      </c>
      <c r="E31" s="2108">
        <v>21665880</v>
      </c>
    </row>
    <row r="32" spans="1:5" ht="16.5">
      <c r="A32" s="2104">
        <v>25</v>
      </c>
      <c r="B32" s="2178" t="e">
        <f>'[2]Pagat 2022 Limite mujore'!B30</f>
        <v>#REF!</v>
      </c>
      <c r="C32" s="2154">
        <v>14670000</v>
      </c>
      <c r="D32" s="2123">
        <v>14670000</v>
      </c>
      <c r="E32" s="2108">
        <v>14629370</v>
      </c>
    </row>
    <row r="33" spans="1:5" ht="16.5">
      <c r="A33" s="2104">
        <v>26</v>
      </c>
      <c r="B33" s="2178" t="s">
        <v>2377</v>
      </c>
      <c r="C33" s="2154">
        <v>17940000</v>
      </c>
      <c r="D33" s="2123">
        <v>17940000</v>
      </c>
      <c r="E33" s="2108">
        <v>17729242</v>
      </c>
    </row>
    <row r="34" spans="1:5" ht="16.5">
      <c r="A34" s="2104">
        <v>27</v>
      </c>
      <c r="B34" s="2178" t="str">
        <f>'[2]Pagat 2022 Limite mujore'!B32</f>
        <v>Shtëp.Fëm.Shkoll. Shkodër</v>
      </c>
      <c r="C34" s="2154">
        <v>24465000</v>
      </c>
      <c r="D34" s="2123">
        <v>24465000</v>
      </c>
      <c r="E34" s="2108">
        <v>24244459</v>
      </c>
    </row>
    <row r="35" spans="1:5" ht="16.5">
      <c r="A35" s="2121">
        <v>28</v>
      </c>
      <c r="B35" s="2178" t="str">
        <f>'[2]Pagat 2022 Limite mujore'!B33</f>
        <v>Shtëp.Fëm.Shkoll. Tiranë</v>
      </c>
      <c r="C35" s="2154">
        <v>43690000</v>
      </c>
      <c r="D35" s="2123">
        <v>43690000</v>
      </c>
      <c r="E35" s="2108">
        <v>43558016</v>
      </c>
    </row>
    <row r="36" spans="1:5" ht="16.5">
      <c r="A36" s="2104">
        <v>29</v>
      </c>
      <c r="B36" s="2484" t="e">
        <f>'[2]Pagat 2022 Limite mujore'!B34</f>
        <v>#REF!</v>
      </c>
      <c r="C36" s="2154">
        <v>26190000</v>
      </c>
      <c r="D36" s="2139">
        <v>26190000</v>
      </c>
      <c r="E36" s="2108">
        <v>25709373</v>
      </c>
    </row>
    <row r="37" spans="1:5" ht="17.25" thickBot="1">
      <c r="A37" s="2481">
        <v>30</v>
      </c>
      <c r="B37" s="2485" t="s">
        <v>3243</v>
      </c>
      <c r="C37" s="2154">
        <v>6165000</v>
      </c>
      <c r="D37" s="2139">
        <v>6165000</v>
      </c>
      <c r="E37" s="2108">
        <v>5844490</v>
      </c>
    </row>
    <row r="38" spans="1:5" ht="17.25" thickBot="1">
      <c r="A38" s="2183"/>
      <c r="B38" s="2152" t="s">
        <v>2739</v>
      </c>
      <c r="C38" s="2184">
        <v>174523000</v>
      </c>
      <c r="D38" s="2184">
        <v>174523000</v>
      </c>
      <c r="E38" s="2184">
        <v>172891057</v>
      </c>
    </row>
    <row r="39" spans="1:5" ht="17.25" thickBot="1">
      <c r="A39" s="2151"/>
      <c r="B39" s="2185" t="s">
        <v>2740</v>
      </c>
      <c r="C39" s="2153">
        <v>680728000</v>
      </c>
      <c r="D39" s="2153">
        <v>680728000</v>
      </c>
      <c r="E39" s="2153">
        <v>675219838.79999995</v>
      </c>
    </row>
    <row r="40" spans="1:5" ht="17.25" thickBot="1">
      <c r="A40" s="2173">
        <v>30</v>
      </c>
      <c r="B40" s="2186" t="str">
        <f>'[2]Pagat 2022 Limite mujore'!B36</f>
        <v>Admin. Qendrore SHSSH</v>
      </c>
      <c r="C40" s="2187">
        <v>86004000</v>
      </c>
      <c r="D40" s="2188">
        <v>86004000</v>
      </c>
      <c r="E40" s="2108">
        <v>85469439</v>
      </c>
    </row>
    <row r="41" spans="1:5" ht="17.25" thickBot="1">
      <c r="A41" s="2197"/>
      <c r="B41" s="2198" t="s">
        <v>2741</v>
      </c>
      <c r="C41" s="2153">
        <v>145527000</v>
      </c>
      <c r="D41" s="2153">
        <v>145527000</v>
      </c>
      <c r="E41" s="2153">
        <v>142417684</v>
      </c>
    </row>
    <row r="42" spans="1:5" ht="16.5">
      <c r="A42" s="2104">
        <v>31</v>
      </c>
      <c r="B42" s="2105" t="str">
        <f>'[2]Pagat 2022 Limite mujore'!B37</f>
        <v>Zyra Rajonale e Kujd. Social Berat</v>
      </c>
      <c r="C42" s="2154">
        <v>8090000</v>
      </c>
      <c r="D42" s="2107">
        <v>8090000</v>
      </c>
      <c r="E42" s="2108">
        <v>7645671</v>
      </c>
    </row>
    <row r="43" spans="1:5" ht="16.5">
      <c r="A43" s="2121">
        <v>32</v>
      </c>
      <c r="B43" s="2122" t="str">
        <f>'[2]Pagat 2022 Limite mujore'!B38</f>
        <v>Zyra Rajonale e Kujd.Social Dibër</v>
      </c>
      <c r="C43" s="2154">
        <v>9450000</v>
      </c>
      <c r="D43" s="2107">
        <v>9450000</v>
      </c>
      <c r="E43" s="2108">
        <v>9129819</v>
      </c>
    </row>
    <row r="44" spans="1:5" ht="16.5">
      <c r="A44" s="2104">
        <v>33</v>
      </c>
      <c r="B44" s="2122" t="str">
        <f>'[2]Pagat 2022 Limite mujore'!B39</f>
        <v>Zyra Rajonale e Kujd.Social Durrës</v>
      </c>
      <c r="C44" s="2154">
        <v>14130000</v>
      </c>
      <c r="D44" s="2107">
        <v>14130000</v>
      </c>
      <c r="E44" s="2108">
        <v>13909810</v>
      </c>
    </row>
    <row r="45" spans="1:5" ht="16.5">
      <c r="A45" s="2121">
        <v>34</v>
      </c>
      <c r="B45" s="2122" t="str">
        <f>'[2]Pagat 2022 Limite mujore'!B40</f>
        <v>Zyra Rajon. Kujd.Social Elbasan</v>
      </c>
      <c r="C45" s="2154">
        <v>19150000</v>
      </c>
      <c r="D45" s="2107">
        <v>19150000</v>
      </c>
      <c r="E45" s="2108">
        <v>19074091</v>
      </c>
    </row>
    <row r="46" spans="1:5" ht="16.5">
      <c r="A46" s="2104">
        <v>35</v>
      </c>
      <c r="B46" s="2122" t="str">
        <f>'[2]Pagat 2022 Limite mujore'!B41</f>
        <v>Zyra Rajon. Kujd.Social Fier</v>
      </c>
      <c r="C46" s="2154">
        <v>8430000</v>
      </c>
      <c r="D46" s="2107">
        <v>8430000</v>
      </c>
      <c r="E46" s="2108">
        <v>8044465</v>
      </c>
    </row>
    <row r="47" spans="1:5" ht="16.5">
      <c r="A47" s="2121">
        <v>36</v>
      </c>
      <c r="B47" s="2122" t="str">
        <f>'[2]Pagat 2022 Limite mujore'!B42</f>
        <v>Zyra Rajon.Kujd.Soc. Gjirokastër</v>
      </c>
      <c r="C47" s="2154">
        <v>7520000</v>
      </c>
      <c r="D47" s="2107">
        <v>7520000</v>
      </c>
      <c r="E47" s="2108">
        <v>7210560</v>
      </c>
    </row>
    <row r="48" spans="1:5" ht="16.5">
      <c r="A48" s="2104">
        <v>37</v>
      </c>
      <c r="B48" s="2122" t="str">
        <f>'[2]Pagat 2022 Limite mujore'!B43</f>
        <v>Zyra Rajonale Kujd.Social Korçë</v>
      </c>
      <c r="C48" s="2154">
        <v>12144000</v>
      </c>
      <c r="D48" s="2107">
        <v>12144000</v>
      </c>
      <c r="E48" s="2108">
        <v>11725144</v>
      </c>
    </row>
    <row r="49" spans="1:9" ht="16.5">
      <c r="A49" s="2121">
        <v>38</v>
      </c>
      <c r="B49" s="2122" t="str">
        <f>'[2]Pagat 2022 Limite mujore'!B44</f>
        <v>Zyra Rajonale Kujd.Social Kukës</v>
      </c>
      <c r="C49" s="2154">
        <v>9530000</v>
      </c>
      <c r="D49" s="2107">
        <v>9530000</v>
      </c>
      <c r="E49" s="2108">
        <v>9175712</v>
      </c>
    </row>
    <row r="50" spans="1:9" ht="16.5">
      <c r="A50" s="2104">
        <v>39</v>
      </c>
      <c r="B50" s="2122" t="str">
        <f>'[2]Pagat 2022 Limite mujore'!B45</f>
        <v>Zyra Rajonale Kujd.Social Lezhë</v>
      </c>
      <c r="C50" s="2154">
        <v>9836000</v>
      </c>
      <c r="D50" s="2107">
        <v>9836000</v>
      </c>
      <c r="E50" s="2108">
        <v>9716298</v>
      </c>
    </row>
    <row r="51" spans="1:9" ht="16.5">
      <c r="A51" s="2121">
        <v>40</v>
      </c>
      <c r="B51" s="2122" t="str">
        <f>'[2]Pagat 2022 Limite mujore'!B46</f>
        <v>Zyra Rajon. Kujd.Social Shkodër</v>
      </c>
      <c r="C51" s="2154">
        <v>13833000</v>
      </c>
      <c r="D51" s="2107">
        <v>13833000</v>
      </c>
      <c r="E51" s="2108">
        <v>13702500</v>
      </c>
    </row>
    <row r="52" spans="1:9" ht="16.5">
      <c r="A52" s="2104">
        <v>41</v>
      </c>
      <c r="B52" s="2122" t="str">
        <f>'[2]Pagat 2022 Limite mujore'!B47</f>
        <v>Zyra Rajonale Kujd.Social Vlorë</v>
      </c>
      <c r="C52" s="2154">
        <v>10549000</v>
      </c>
      <c r="D52" s="2107">
        <v>10549000</v>
      </c>
      <c r="E52" s="2108">
        <v>10414433</v>
      </c>
    </row>
    <row r="53" spans="1:9" ht="17.25" thickBot="1">
      <c r="A53" s="2147">
        <v>42</v>
      </c>
      <c r="B53" s="2181" t="e">
        <f>'[2]Pagat 2022 Limite mujore'!B48</f>
        <v>#REF!</v>
      </c>
      <c r="C53" s="2199">
        <v>22865000</v>
      </c>
      <c r="D53" s="2107">
        <v>22865000</v>
      </c>
      <c r="E53" s="2200">
        <v>22669181</v>
      </c>
    </row>
    <row r="54" spans="1:9" ht="17.25" thickBot="1">
      <c r="A54" s="2151">
        <v>43</v>
      </c>
      <c r="B54" s="2185" t="s">
        <v>2742</v>
      </c>
      <c r="C54" s="2153">
        <v>10145000</v>
      </c>
      <c r="D54" s="2107">
        <v>10145000</v>
      </c>
      <c r="E54" s="2204">
        <v>10019494</v>
      </c>
    </row>
    <row r="55" spans="1:9" ht="17.25" thickBot="1">
      <c r="A55" s="2213"/>
      <c r="B55" s="2152" t="s">
        <v>82</v>
      </c>
      <c r="C55" s="2153">
        <v>922404000</v>
      </c>
      <c r="D55" s="2153">
        <v>922404000</v>
      </c>
      <c r="E55" s="2153">
        <v>913126455.79999995</v>
      </c>
    </row>
    <row r="56" spans="1:9" ht="16.5">
      <c r="A56" s="2110">
        <v>1</v>
      </c>
      <c r="B56" s="2105" t="s">
        <v>2743</v>
      </c>
      <c r="C56" s="2154">
        <v>6713236000</v>
      </c>
      <c r="D56" s="2494">
        <v>6703042000</v>
      </c>
      <c r="E56" s="2501">
        <v>6664730709</v>
      </c>
    </row>
    <row r="57" spans="1:9" ht="16.5">
      <c r="A57" s="2482">
        <v>2</v>
      </c>
      <c r="B57" s="2224" t="s">
        <v>2744</v>
      </c>
      <c r="C57" s="2154">
        <v>18535928000</v>
      </c>
      <c r="D57" s="2495">
        <v>18514034000</v>
      </c>
      <c r="E57" s="2502">
        <v>18436277557</v>
      </c>
    </row>
    <row r="58" spans="1:9" ht="16.5">
      <c r="A58" s="2482">
        <v>3</v>
      </c>
      <c r="B58" s="2224" t="s">
        <v>2745</v>
      </c>
      <c r="C58" s="2154">
        <v>3100000000</v>
      </c>
      <c r="D58" s="2495">
        <v>3100000000</v>
      </c>
      <c r="E58" s="2503">
        <v>3100000000</v>
      </c>
    </row>
    <row r="59" spans="1:9" ht="16.5">
      <c r="A59" s="2482">
        <v>4</v>
      </c>
      <c r="B59" s="2224" t="s">
        <v>3244</v>
      </c>
      <c r="C59" s="2154">
        <v>0</v>
      </c>
      <c r="D59" s="2495">
        <v>0</v>
      </c>
      <c r="E59" s="2502">
        <v>0</v>
      </c>
    </row>
    <row r="60" spans="1:9" ht="16.5">
      <c r="A60" s="2482">
        <v>5</v>
      </c>
      <c r="B60" s="2224" t="s">
        <v>3245</v>
      </c>
      <c r="C60" s="2154">
        <v>195368000</v>
      </c>
      <c r="D60" s="2495">
        <v>195368000</v>
      </c>
      <c r="E60" s="2502">
        <v>158818000.19999999</v>
      </c>
    </row>
    <row r="61" spans="1:9" ht="17.25" thickBot="1">
      <c r="A61" s="2483">
        <v>6</v>
      </c>
      <c r="B61" s="2486" t="s">
        <v>3246</v>
      </c>
      <c r="C61" s="2187">
        <v>313000</v>
      </c>
      <c r="D61" s="2496">
        <v>313000</v>
      </c>
      <c r="E61" s="2504">
        <v>0</v>
      </c>
    </row>
    <row r="62" spans="1:9" ht="17.25" thickBot="1">
      <c r="A62" s="2243"/>
      <c r="B62" s="2244" t="s">
        <v>82</v>
      </c>
      <c r="C62" s="2245">
        <v>29467249000</v>
      </c>
      <c r="D62" s="2497">
        <v>29435161000</v>
      </c>
      <c r="E62" s="2245">
        <v>29272952722</v>
      </c>
    </row>
    <row r="64" spans="1:9" ht="30.75" customHeight="1">
      <c r="A64" s="3012" t="s">
        <v>3247</v>
      </c>
      <c r="B64" s="3013"/>
      <c r="C64" s="3013"/>
      <c r="D64" s="3013"/>
      <c r="E64" s="3013"/>
      <c r="F64" s="3013"/>
      <c r="G64" s="3013"/>
      <c r="H64" s="1453"/>
      <c r="I64" s="1453"/>
    </row>
    <row r="65" spans="1:9" ht="15">
      <c r="A65" s="1453"/>
      <c r="B65" s="1453"/>
      <c r="C65" s="1453"/>
      <c r="D65" s="1453"/>
      <c r="E65" s="1453"/>
      <c r="F65" s="1453"/>
      <c r="G65" s="1453"/>
      <c r="H65" s="1453"/>
      <c r="I65" s="1453"/>
    </row>
    <row r="66" spans="1:9" ht="15">
      <c r="A66" s="1453"/>
      <c r="B66" s="2505" t="s">
        <v>657</v>
      </c>
      <c r="C66" s="3014" t="s">
        <v>3248</v>
      </c>
      <c r="D66" s="3015"/>
      <c r="E66" s="3015"/>
      <c r="F66" s="3016"/>
      <c r="G66" s="2506" t="s">
        <v>3221</v>
      </c>
      <c r="H66" s="2505" t="s">
        <v>661</v>
      </c>
      <c r="I66" s="2507" t="s">
        <v>3249</v>
      </c>
    </row>
    <row r="67" spans="1:9" ht="15">
      <c r="A67" s="1453"/>
      <c r="B67" s="1478">
        <v>1</v>
      </c>
      <c r="C67" s="2598" t="s">
        <v>3250</v>
      </c>
      <c r="D67" s="2599"/>
      <c r="E67" s="2599"/>
      <c r="F67" s="2600"/>
      <c r="G67" s="2508" t="s">
        <v>3251</v>
      </c>
      <c r="H67" s="2509">
        <v>289600</v>
      </c>
      <c r="I67" s="2510">
        <v>289600</v>
      </c>
    </row>
    <row r="68" spans="1:9" ht="15">
      <c r="A68" s="1453"/>
      <c r="B68" s="1478">
        <v>2</v>
      </c>
      <c r="C68" s="2598" t="s">
        <v>3252</v>
      </c>
      <c r="D68" s="2599"/>
      <c r="E68" s="2599"/>
      <c r="F68" s="2600"/>
      <c r="G68" s="2508" t="s">
        <v>3253</v>
      </c>
      <c r="H68" s="2509">
        <v>12126</v>
      </c>
      <c r="I68" s="2510">
        <v>12126</v>
      </c>
    </row>
    <row r="69" spans="1:9" ht="15">
      <c r="A69" s="1453"/>
      <c r="B69" s="1478">
        <v>3</v>
      </c>
      <c r="C69" s="2598" t="s">
        <v>3254</v>
      </c>
      <c r="D69" s="2599"/>
      <c r="E69" s="2599"/>
      <c r="F69" s="2600"/>
      <c r="G69" s="2508" t="s">
        <v>3255</v>
      </c>
      <c r="H69" s="2509">
        <v>72500</v>
      </c>
      <c r="I69" s="2510">
        <v>72500</v>
      </c>
    </row>
    <row r="70" spans="1:9" ht="15">
      <c r="A70" s="1453"/>
      <c r="B70" s="3017">
        <v>4</v>
      </c>
      <c r="C70" s="2598" t="s">
        <v>3256</v>
      </c>
      <c r="D70" s="3005"/>
      <c r="E70" s="3005"/>
      <c r="F70" s="3006"/>
      <c r="G70" s="2511" t="s">
        <v>3257</v>
      </c>
      <c r="H70" s="2509">
        <v>25200</v>
      </c>
      <c r="I70" s="2510">
        <v>25200</v>
      </c>
    </row>
    <row r="71" spans="1:9" ht="15">
      <c r="A71" s="1453"/>
      <c r="B71" s="3018"/>
      <c r="C71" s="3019"/>
      <c r="D71" s="3020"/>
      <c r="E71" s="3020"/>
      <c r="F71" s="3021"/>
      <c r="G71" s="2512" t="s">
        <v>3258</v>
      </c>
      <c r="H71" s="2509">
        <v>96280</v>
      </c>
      <c r="I71" s="2510">
        <v>96280</v>
      </c>
    </row>
    <row r="72" spans="1:9" ht="15">
      <c r="A72" s="1453"/>
      <c r="B72" s="1478">
        <v>5</v>
      </c>
      <c r="C72" s="2598" t="s">
        <v>3259</v>
      </c>
      <c r="D72" s="2599"/>
      <c r="E72" s="2599"/>
      <c r="F72" s="2600"/>
      <c r="G72" s="2508" t="s">
        <v>3260</v>
      </c>
      <c r="H72" s="2509">
        <v>75000</v>
      </c>
      <c r="I72" s="2510">
        <v>75000</v>
      </c>
    </row>
    <row r="73" spans="1:9" ht="15">
      <c r="A73" s="1453"/>
      <c r="B73" s="1478">
        <v>6</v>
      </c>
      <c r="C73" s="2598" t="s">
        <v>827</v>
      </c>
      <c r="D73" s="2599"/>
      <c r="E73" s="2599"/>
      <c r="F73" s="2600"/>
      <c r="G73" s="2508" t="s">
        <v>3261</v>
      </c>
      <c r="H73" s="2509">
        <v>246050</v>
      </c>
      <c r="I73" s="2510">
        <v>246050</v>
      </c>
    </row>
    <row r="74" spans="1:9" ht="15">
      <c r="A74" s="1453"/>
      <c r="B74" s="1478">
        <v>7</v>
      </c>
      <c r="C74" s="2598" t="s">
        <v>3123</v>
      </c>
      <c r="D74" s="2599"/>
      <c r="E74" s="2599"/>
      <c r="F74" s="2600"/>
      <c r="G74" s="2508" t="s">
        <v>3262</v>
      </c>
      <c r="H74" s="2509">
        <v>98205</v>
      </c>
      <c r="I74" s="2510">
        <v>98205</v>
      </c>
    </row>
    <row r="75" spans="1:9" ht="15">
      <c r="A75" s="1453"/>
      <c r="B75" s="1478">
        <v>8</v>
      </c>
      <c r="C75" s="2598" t="s">
        <v>3263</v>
      </c>
      <c r="D75" s="2599"/>
      <c r="E75" s="2599"/>
      <c r="F75" s="2600"/>
      <c r="G75" s="2508" t="s">
        <v>3264</v>
      </c>
      <c r="H75" s="2509">
        <v>427200</v>
      </c>
      <c r="I75" s="2510">
        <v>427200</v>
      </c>
    </row>
    <row r="76" spans="1:9" ht="15">
      <c r="A76" s="1453"/>
      <c r="B76" s="1478">
        <v>9</v>
      </c>
      <c r="C76" s="2598" t="s">
        <v>3265</v>
      </c>
      <c r="D76" s="2599"/>
      <c r="E76" s="2599"/>
      <c r="F76" s="2600"/>
      <c r="G76" s="2508" t="s">
        <v>3266</v>
      </c>
      <c r="H76" s="2509">
        <v>25000</v>
      </c>
      <c r="I76" s="2510">
        <v>25000</v>
      </c>
    </row>
    <row r="77" spans="1:9" ht="15">
      <c r="A77" s="1453"/>
      <c r="B77" s="2513">
        <v>10</v>
      </c>
      <c r="C77" s="3004" t="s">
        <v>3267</v>
      </c>
      <c r="D77" s="3005"/>
      <c r="E77" s="3005"/>
      <c r="F77" s="3006"/>
      <c r="G77" s="2511" t="s">
        <v>3227</v>
      </c>
      <c r="H77" s="2509">
        <v>488500</v>
      </c>
      <c r="I77" s="2510">
        <v>488500</v>
      </c>
    </row>
    <row r="78" spans="1:9" ht="15">
      <c r="A78" s="1453"/>
      <c r="B78" s="2514">
        <v>11</v>
      </c>
      <c r="C78" s="3004" t="s">
        <v>3268</v>
      </c>
      <c r="D78" s="3005"/>
      <c r="E78" s="3005"/>
      <c r="F78" s="3006"/>
      <c r="G78" s="2515" t="s">
        <v>3235</v>
      </c>
      <c r="H78" s="2509">
        <v>3949528</v>
      </c>
      <c r="I78" s="2510">
        <v>3949528</v>
      </c>
    </row>
    <row r="79" spans="1:9" ht="15">
      <c r="A79" s="1453"/>
      <c r="B79" s="2514">
        <v>12</v>
      </c>
      <c r="C79" s="3004" t="s">
        <v>3228</v>
      </c>
      <c r="D79" s="3005"/>
      <c r="E79" s="3005"/>
      <c r="F79" s="3006"/>
      <c r="G79" s="2516" t="s">
        <v>3229</v>
      </c>
      <c r="H79" s="2509">
        <v>629488</v>
      </c>
      <c r="I79" s="2510">
        <v>629488</v>
      </c>
    </row>
    <row r="80" spans="1:9" ht="15">
      <c r="A80" s="1453"/>
      <c r="B80" s="2514">
        <v>13</v>
      </c>
      <c r="C80" s="3007" t="s">
        <v>3230</v>
      </c>
      <c r="D80" s="3008"/>
      <c r="E80" s="3008"/>
      <c r="F80" s="3008"/>
      <c r="G80" s="2516" t="s">
        <v>3229</v>
      </c>
      <c r="H80" s="2509">
        <v>359602</v>
      </c>
      <c r="I80" s="2510">
        <v>359602</v>
      </c>
    </row>
    <row r="81" spans="1:9" ht="15">
      <c r="A81" s="1453"/>
      <c r="B81" s="2517">
        <v>14</v>
      </c>
      <c r="C81" s="3009" t="s">
        <v>3224</v>
      </c>
      <c r="D81" s="3010"/>
      <c r="E81" s="3010"/>
      <c r="F81" s="3011"/>
      <c r="G81" s="2516" t="s">
        <v>3225</v>
      </c>
      <c r="H81" s="2509">
        <v>117600</v>
      </c>
      <c r="I81" s="2510">
        <v>117600</v>
      </c>
    </row>
    <row r="82" spans="1:9" ht="15">
      <c r="A82" s="1453"/>
      <c r="B82" s="2517">
        <v>15</v>
      </c>
      <c r="C82" s="3009" t="s">
        <v>1508</v>
      </c>
      <c r="D82" s="3010"/>
      <c r="E82" s="3010"/>
      <c r="F82" s="3011"/>
      <c r="G82" s="2516" t="s">
        <v>3225</v>
      </c>
      <c r="H82" s="2509">
        <f>12*4500</f>
        <v>54000</v>
      </c>
      <c r="I82" s="2510">
        <f>12*4500</f>
        <v>54000</v>
      </c>
    </row>
    <row r="83" spans="1:9" ht="15">
      <c r="A83" s="1453"/>
      <c r="B83" s="1453"/>
      <c r="C83" s="1453"/>
      <c r="D83" s="1453"/>
      <c r="E83" s="1453"/>
      <c r="F83" s="1453"/>
      <c r="G83" s="1453"/>
      <c r="H83" s="1453"/>
      <c r="I83" s="1453"/>
    </row>
  </sheetData>
  <mergeCells count="21">
    <mergeCell ref="A2:E2"/>
    <mergeCell ref="A3:A4"/>
    <mergeCell ref="B3:B4"/>
    <mergeCell ref="C77:F77"/>
    <mergeCell ref="A64:G64"/>
    <mergeCell ref="C66:F66"/>
    <mergeCell ref="C67:F67"/>
    <mergeCell ref="C68:F68"/>
    <mergeCell ref="C69:F69"/>
    <mergeCell ref="B70:B71"/>
    <mergeCell ref="C70:F71"/>
    <mergeCell ref="C72:F72"/>
    <mergeCell ref="C73:F73"/>
    <mergeCell ref="C74:F74"/>
    <mergeCell ref="C75:F75"/>
    <mergeCell ref="C76:F76"/>
    <mergeCell ref="C78:F78"/>
    <mergeCell ref="C79:F79"/>
    <mergeCell ref="C80:F80"/>
    <mergeCell ref="C81:F81"/>
    <mergeCell ref="C82:F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9"/>
  <sheetViews>
    <sheetView tabSelected="1" topLeftCell="A43" workbookViewId="0">
      <selection activeCell="J62" sqref="J62"/>
    </sheetView>
  </sheetViews>
  <sheetFormatPr defaultRowHeight="12.75"/>
  <cols>
    <col min="1" max="1" width="6.5703125" customWidth="1"/>
    <col min="2" max="2" width="45.5703125" customWidth="1"/>
    <col min="3" max="3" width="32.28515625" customWidth="1"/>
    <col min="4" max="4" width="14.42578125" customWidth="1"/>
  </cols>
  <sheetData>
    <row r="2" spans="1:3" ht="15">
      <c r="A2" s="3027"/>
      <c r="B2" s="3027"/>
      <c r="C2" s="3027"/>
    </row>
    <row r="3" spans="1:3" ht="15.75" thickBot="1">
      <c r="A3" s="3022" t="s">
        <v>2301</v>
      </c>
      <c r="B3" s="3022"/>
      <c r="C3" s="3022"/>
    </row>
    <row r="4" spans="1:3" ht="15.75" thickBot="1">
      <c r="A4" s="3028" t="s">
        <v>657</v>
      </c>
      <c r="B4" s="3030" t="s">
        <v>2728</v>
      </c>
      <c r="C4" s="2518" t="s">
        <v>3269</v>
      </c>
    </row>
    <row r="5" spans="1:3" ht="15.75" thickBot="1">
      <c r="A5" s="3029"/>
      <c r="B5" s="3031"/>
      <c r="C5" s="2519" t="s">
        <v>2733</v>
      </c>
    </row>
    <row r="6" spans="1:3" ht="16.5">
      <c r="A6" s="2520">
        <v>1</v>
      </c>
      <c r="B6" s="2521" t="s">
        <v>3270</v>
      </c>
      <c r="C6" s="2522">
        <v>27635000</v>
      </c>
    </row>
    <row r="7" spans="1:3" ht="16.5">
      <c r="A7" s="2523">
        <v>2</v>
      </c>
      <c r="B7" s="2524" t="s">
        <v>3271</v>
      </c>
      <c r="C7" s="2522">
        <v>33690000</v>
      </c>
    </row>
    <row r="8" spans="1:3" ht="16.5">
      <c r="A8" s="2520">
        <v>3</v>
      </c>
      <c r="B8" s="2524" t="s">
        <v>3272</v>
      </c>
      <c r="C8" s="2522">
        <v>33255000</v>
      </c>
    </row>
    <row r="9" spans="1:3" ht="16.5">
      <c r="A9" s="2523">
        <v>4</v>
      </c>
      <c r="B9" s="2524" t="s">
        <v>3273</v>
      </c>
      <c r="C9" s="2522">
        <v>30810000</v>
      </c>
    </row>
    <row r="10" spans="1:3" ht="16.5">
      <c r="A10" s="2520">
        <v>5</v>
      </c>
      <c r="B10" s="2524" t="s">
        <v>3274</v>
      </c>
      <c r="C10" s="2522">
        <v>33220000</v>
      </c>
    </row>
    <row r="11" spans="1:3" ht="16.5">
      <c r="A11" s="2523">
        <v>6</v>
      </c>
      <c r="B11" s="2524" t="s">
        <v>3275</v>
      </c>
      <c r="C11" s="2522">
        <v>20460000</v>
      </c>
    </row>
    <row r="12" spans="1:3" ht="16.5">
      <c r="A12" s="2520">
        <v>7</v>
      </c>
      <c r="B12" s="2524" t="s">
        <v>3276</v>
      </c>
      <c r="C12" s="2525">
        <v>2990000</v>
      </c>
    </row>
    <row r="13" spans="1:3" ht="16.5">
      <c r="A13" s="2523">
        <v>8</v>
      </c>
      <c r="B13" s="2524" t="s">
        <v>3277</v>
      </c>
      <c r="C13" s="2525">
        <v>8165000</v>
      </c>
    </row>
    <row r="14" spans="1:3" ht="17.25" thickBot="1">
      <c r="A14" s="2520">
        <v>9</v>
      </c>
      <c r="B14" s="2524" t="s">
        <v>1203</v>
      </c>
      <c r="C14" s="2525">
        <v>8130000</v>
      </c>
    </row>
    <row r="15" spans="1:3" ht="17.25" thickBot="1">
      <c r="A15" s="2526"/>
      <c r="B15" s="2527" t="s">
        <v>2739</v>
      </c>
      <c r="C15" s="2528">
        <v>198355000</v>
      </c>
    </row>
    <row r="16" spans="1:3" ht="16.5">
      <c r="A16" s="2520">
        <v>10</v>
      </c>
      <c r="B16" s="2521" t="s">
        <v>3278</v>
      </c>
      <c r="C16" s="2529">
        <v>46380000</v>
      </c>
    </row>
    <row r="17" spans="1:3" ht="16.5">
      <c r="A17" s="2523">
        <v>11</v>
      </c>
      <c r="B17" s="2524" t="s">
        <v>3279</v>
      </c>
      <c r="C17" s="2529">
        <v>16595000</v>
      </c>
    </row>
    <row r="18" spans="1:3" ht="16.5">
      <c r="A18" s="2520">
        <v>12</v>
      </c>
      <c r="B18" s="2524" t="s">
        <v>3280</v>
      </c>
      <c r="C18" s="2529">
        <v>16355000</v>
      </c>
    </row>
    <row r="19" spans="1:3" ht="16.5">
      <c r="A19" s="2523">
        <v>13</v>
      </c>
      <c r="B19" s="2524" t="s">
        <v>3281</v>
      </c>
      <c r="C19" s="2529">
        <v>29685000</v>
      </c>
    </row>
    <row r="20" spans="1:3" ht="17.25" thickBot="1">
      <c r="A20" s="2520">
        <v>14</v>
      </c>
      <c r="B20" s="2530" t="s">
        <v>3282</v>
      </c>
      <c r="C20" s="2529">
        <v>21200000</v>
      </c>
    </row>
    <row r="21" spans="1:3" ht="17.25" thickBot="1">
      <c r="A21" s="2526"/>
      <c r="B21" s="2527" t="s">
        <v>2739</v>
      </c>
      <c r="C21" s="2528">
        <v>130215000</v>
      </c>
    </row>
    <row r="22" spans="1:3" ht="16.5">
      <c r="A22" s="2520">
        <v>15</v>
      </c>
      <c r="B22" s="2531" t="s">
        <v>3283</v>
      </c>
      <c r="C22" s="2529">
        <v>31810000</v>
      </c>
    </row>
    <row r="23" spans="1:3" ht="16.5">
      <c r="A23" s="2523">
        <v>16</v>
      </c>
      <c r="B23" s="2532" t="s">
        <v>3284</v>
      </c>
      <c r="C23" s="2529">
        <v>36305000</v>
      </c>
    </row>
    <row r="24" spans="1:3" ht="16.5">
      <c r="A24" s="2520">
        <v>17</v>
      </c>
      <c r="B24" s="2532" t="s">
        <v>3285</v>
      </c>
      <c r="C24" s="2529">
        <v>32545000</v>
      </c>
    </row>
    <row r="25" spans="1:3" ht="16.5">
      <c r="A25" s="2523">
        <v>18</v>
      </c>
      <c r="B25" s="2532" t="s">
        <v>3286</v>
      </c>
      <c r="C25" s="2529">
        <v>50640000</v>
      </c>
    </row>
    <row r="26" spans="1:3" ht="16.5">
      <c r="A26" s="2520">
        <v>19</v>
      </c>
      <c r="B26" s="2532" t="s">
        <v>2362</v>
      </c>
      <c r="C26" s="2529">
        <v>27185000</v>
      </c>
    </row>
    <row r="27" spans="1:3" ht="16.5">
      <c r="A27" s="2523">
        <v>20</v>
      </c>
      <c r="B27" s="2532" t="s">
        <v>3287</v>
      </c>
      <c r="C27" s="2529">
        <v>23025000</v>
      </c>
    </row>
    <row r="28" spans="1:3" ht="16.5">
      <c r="A28" s="2520">
        <v>21</v>
      </c>
      <c r="B28" s="2532" t="s">
        <v>3288</v>
      </c>
      <c r="C28" s="2529">
        <v>12315000</v>
      </c>
    </row>
    <row r="29" spans="1:3" ht="17.25" thickBot="1">
      <c r="A29" s="2523">
        <v>22</v>
      </c>
      <c r="B29" s="2533" t="s">
        <v>3289</v>
      </c>
      <c r="C29" s="2529">
        <v>8890000</v>
      </c>
    </row>
    <row r="30" spans="1:3" ht="17.25" thickBot="1">
      <c r="A30" s="2526"/>
      <c r="B30" s="2534" t="s">
        <v>2739</v>
      </c>
      <c r="C30" s="2528">
        <v>222715000</v>
      </c>
    </row>
    <row r="31" spans="1:3" ht="16.5">
      <c r="A31" s="2520">
        <v>23</v>
      </c>
      <c r="B31" s="2535" t="s">
        <v>3290</v>
      </c>
      <c r="C31" s="2529">
        <v>22790000</v>
      </c>
    </row>
    <row r="32" spans="1:3" ht="16.5">
      <c r="A32" s="2523">
        <v>24</v>
      </c>
      <c r="B32" s="2536" t="s">
        <v>3291</v>
      </c>
      <c r="C32" s="2529">
        <v>22580000</v>
      </c>
    </row>
    <row r="33" spans="1:3" ht="16.5">
      <c r="A33" s="2520">
        <v>25</v>
      </c>
      <c r="B33" s="2536" t="s">
        <v>3292</v>
      </c>
      <c r="C33" s="2529">
        <v>15670000</v>
      </c>
    </row>
    <row r="34" spans="1:3" ht="16.5">
      <c r="A34" s="2520">
        <v>26</v>
      </c>
      <c r="B34" s="2536" t="s">
        <v>2377</v>
      </c>
      <c r="C34" s="2529">
        <v>20325000</v>
      </c>
    </row>
    <row r="35" spans="1:3" ht="16.5">
      <c r="A35" s="2520">
        <v>27</v>
      </c>
      <c r="B35" s="2536" t="s">
        <v>3293</v>
      </c>
      <c r="C35" s="2529">
        <v>27805000</v>
      </c>
    </row>
    <row r="36" spans="1:3" ht="16.5">
      <c r="A36" s="2523">
        <v>28</v>
      </c>
      <c r="B36" s="2536" t="s">
        <v>3294</v>
      </c>
      <c r="C36" s="2529">
        <v>50155000</v>
      </c>
    </row>
    <row r="37" spans="1:3" ht="16.5">
      <c r="A37" s="2520">
        <v>29</v>
      </c>
      <c r="B37" s="2537" t="s">
        <v>3295</v>
      </c>
      <c r="C37" s="2529">
        <v>29315000</v>
      </c>
    </row>
    <row r="38" spans="1:3" ht="17.25" thickBot="1">
      <c r="A38" s="2538">
        <v>30</v>
      </c>
      <c r="B38" s="2539" t="s">
        <v>3243</v>
      </c>
      <c r="C38" s="2529">
        <v>16780000</v>
      </c>
    </row>
    <row r="39" spans="1:3" ht="17.25" thickBot="1">
      <c r="A39" s="2540"/>
      <c r="B39" s="2527" t="s">
        <v>2739</v>
      </c>
      <c r="C39" s="2541">
        <v>205420000</v>
      </c>
    </row>
    <row r="40" spans="1:3" ht="17.25" thickBot="1">
      <c r="A40" s="2526"/>
      <c r="B40" s="2542" t="s">
        <v>2740</v>
      </c>
      <c r="C40" s="2528">
        <v>756705000</v>
      </c>
    </row>
    <row r="41" spans="1:3" ht="17.25" thickBot="1">
      <c r="A41" s="2543">
        <v>30</v>
      </c>
      <c r="B41" s="2544" t="s">
        <v>2385</v>
      </c>
      <c r="C41" s="2545">
        <v>85887000</v>
      </c>
    </row>
    <row r="42" spans="1:3" ht="17.25" thickBot="1">
      <c r="A42" s="2546"/>
      <c r="B42" s="2547" t="s">
        <v>2741</v>
      </c>
      <c r="C42" s="2528">
        <v>209048000</v>
      </c>
    </row>
    <row r="43" spans="1:3" ht="16.5">
      <c r="A43" s="2520">
        <v>31</v>
      </c>
      <c r="B43" s="2521" t="s">
        <v>2390</v>
      </c>
      <c r="C43" s="2529">
        <v>13575000</v>
      </c>
    </row>
    <row r="44" spans="1:3" ht="16.5">
      <c r="A44" s="2523">
        <v>32</v>
      </c>
      <c r="B44" s="2524" t="s">
        <v>3296</v>
      </c>
      <c r="C44" s="2529">
        <v>14855000</v>
      </c>
    </row>
    <row r="45" spans="1:3" ht="16.5">
      <c r="A45" s="2520">
        <v>33</v>
      </c>
      <c r="B45" s="2524" t="s">
        <v>3297</v>
      </c>
      <c r="C45" s="2529">
        <v>16660000</v>
      </c>
    </row>
    <row r="46" spans="1:3" ht="16.5">
      <c r="A46" s="2523">
        <v>34</v>
      </c>
      <c r="B46" s="2524" t="s">
        <v>2398</v>
      </c>
      <c r="C46" s="2529">
        <v>28480000</v>
      </c>
    </row>
    <row r="47" spans="1:3" ht="16.5">
      <c r="A47" s="2520">
        <v>35</v>
      </c>
      <c r="B47" s="2524" t="s">
        <v>2400</v>
      </c>
      <c r="C47" s="2529">
        <v>19060000</v>
      </c>
    </row>
    <row r="48" spans="1:3" ht="16.5">
      <c r="A48" s="2523">
        <v>36</v>
      </c>
      <c r="B48" s="2524" t="s">
        <v>3298</v>
      </c>
      <c r="C48" s="2529">
        <v>10125000</v>
      </c>
    </row>
    <row r="49" spans="1:3" ht="16.5">
      <c r="A49" s="2520">
        <v>37</v>
      </c>
      <c r="B49" s="2524" t="s">
        <v>3299</v>
      </c>
      <c r="C49" s="2529">
        <v>19085000</v>
      </c>
    </row>
    <row r="50" spans="1:3" ht="16.5">
      <c r="A50" s="2523">
        <v>38</v>
      </c>
      <c r="B50" s="2524" t="s">
        <v>3300</v>
      </c>
      <c r="C50" s="2529">
        <v>11705000</v>
      </c>
    </row>
    <row r="51" spans="1:3" ht="16.5">
      <c r="A51" s="2520">
        <v>39</v>
      </c>
      <c r="B51" s="2524" t="s">
        <v>3301</v>
      </c>
      <c r="C51" s="2529">
        <v>14610000</v>
      </c>
    </row>
    <row r="52" spans="1:3" ht="16.5">
      <c r="A52" s="2523">
        <v>40</v>
      </c>
      <c r="B52" s="2524" t="s">
        <v>3302</v>
      </c>
      <c r="C52" s="2529">
        <v>17803000</v>
      </c>
    </row>
    <row r="53" spans="1:3" ht="16.5">
      <c r="A53" s="2520">
        <v>41</v>
      </c>
      <c r="B53" s="2524" t="s">
        <v>3303</v>
      </c>
      <c r="C53" s="2529">
        <v>15660000</v>
      </c>
    </row>
    <row r="54" spans="1:3" ht="17.25" thickBot="1">
      <c r="A54" s="2548">
        <v>42</v>
      </c>
      <c r="B54" s="2549" t="s">
        <v>3304</v>
      </c>
      <c r="C54" s="2550">
        <v>27430000</v>
      </c>
    </row>
    <row r="55" spans="1:3" ht="17.25" thickBot="1">
      <c r="A55" s="2526">
        <v>43</v>
      </c>
      <c r="B55" s="2542" t="s">
        <v>2742</v>
      </c>
      <c r="C55" s="2528">
        <v>10360000</v>
      </c>
    </row>
    <row r="56" spans="1:3" ht="17.25" thickBot="1">
      <c r="A56" s="2551"/>
      <c r="B56" s="2527" t="s">
        <v>82</v>
      </c>
      <c r="C56" s="2528">
        <v>1062000000</v>
      </c>
    </row>
    <row r="57" spans="1:3" ht="16.5">
      <c r="A57" s="2552">
        <v>1</v>
      </c>
      <c r="B57" s="2521" t="s">
        <v>2743</v>
      </c>
      <c r="C57" s="2529">
        <v>7234000000</v>
      </c>
    </row>
    <row r="58" spans="1:3" ht="16.5">
      <c r="A58" s="2553">
        <v>2</v>
      </c>
      <c r="B58" s="2554" t="s">
        <v>2744</v>
      </c>
      <c r="C58" s="2529">
        <v>17736000000</v>
      </c>
    </row>
    <row r="59" spans="1:3" ht="16.5">
      <c r="A59" s="2553">
        <v>3</v>
      </c>
      <c r="B59" s="2554" t="s">
        <v>2745</v>
      </c>
      <c r="C59" s="2529">
        <v>2200000000</v>
      </c>
    </row>
    <row r="60" spans="1:3" ht="16.5">
      <c r="A60" s="2553">
        <v>4</v>
      </c>
      <c r="B60" s="2554" t="s">
        <v>3244</v>
      </c>
      <c r="C60" s="2529">
        <v>80000000</v>
      </c>
    </row>
    <row r="61" spans="1:3" ht="16.5">
      <c r="A61" s="2553">
        <v>5</v>
      </c>
      <c r="B61" s="2554" t="s">
        <v>3245</v>
      </c>
      <c r="C61" s="2529">
        <v>300000000</v>
      </c>
    </row>
    <row r="62" spans="1:3" ht="16.5">
      <c r="A62" s="2555">
        <v>6</v>
      </c>
      <c r="B62" s="2556" t="s">
        <v>3246</v>
      </c>
      <c r="C62" s="2529">
        <v>0</v>
      </c>
    </row>
    <row r="63" spans="1:3" ht="17.25" thickBot="1">
      <c r="A63" s="2557">
        <v>7</v>
      </c>
      <c r="B63" s="2558" t="s">
        <v>3305</v>
      </c>
      <c r="C63" s="2559">
        <v>600000000</v>
      </c>
    </row>
    <row r="66" spans="1:4">
      <c r="A66" t="s">
        <v>3306</v>
      </c>
    </row>
    <row r="68" spans="1:4" ht="15">
      <c r="A68" s="1"/>
      <c r="B68" s="2478" t="s">
        <v>3307</v>
      </c>
      <c r="C68" s="2478" t="s">
        <v>170</v>
      </c>
      <c r="D68" s="2478" t="s">
        <v>3308</v>
      </c>
    </row>
    <row r="69" spans="1:4">
      <c r="A69" s="1" t="s">
        <v>3309</v>
      </c>
      <c r="B69" s="3062">
        <v>71967683</v>
      </c>
      <c r="C69" s="3062">
        <v>28160977</v>
      </c>
      <c r="D69" s="3062">
        <f>B69+C69</f>
        <v>100128660</v>
      </c>
    </row>
  </sheetData>
  <mergeCells count="4">
    <mergeCell ref="A2:C2"/>
    <mergeCell ref="A3:C3"/>
    <mergeCell ref="A4:A5"/>
    <mergeCell ref="B4: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2"/>
  <sheetViews>
    <sheetView zoomScale="75" workbookViewId="0">
      <selection activeCell="D23" sqref="D23"/>
    </sheetView>
  </sheetViews>
  <sheetFormatPr defaultRowHeight="15"/>
  <cols>
    <col min="1" max="1" width="14" customWidth="1"/>
    <col min="2" max="2" width="9.140625" customWidth="1"/>
    <col min="3" max="3" width="17.5703125" customWidth="1"/>
    <col min="4" max="4" width="16.7109375" customWidth="1"/>
    <col min="5" max="5" width="16.85546875" customWidth="1"/>
    <col min="6" max="6" width="9.28515625" customWidth="1"/>
    <col min="7" max="7" width="13.42578125" customWidth="1"/>
    <col min="8" max="8" width="15" customWidth="1"/>
    <col min="9" max="9" width="14.42578125" customWidth="1"/>
    <col min="10" max="10" width="14" customWidth="1"/>
    <col min="11" max="11" width="11.5703125" customWidth="1"/>
    <col min="12" max="12" width="11.7109375" customWidth="1"/>
    <col min="13" max="14" width="9.28515625" customWidth="1"/>
    <col min="15" max="15" width="13.140625" customWidth="1"/>
    <col min="16" max="16" width="14" customWidth="1"/>
    <col min="17" max="17" width="9.140625" style="168"/>
    <col min="18" max="18" width="12" style="168" customWidth="1"/>
    <col min="19" max="19" width="11" style="168" customWidth="1"/>
    <col min="20" max="20" width="11.42578125" style="168" customWidth="1"/>
    <col min="21" max="21" width="12" customWidth="1"/>
    <col min="22" max="22" width="17.28515625" bestFit="1" customWidth="1"/>
    <col min="23" max="23" width="10.140625" bestFit="1" customWidth="1"/>
    <col min="25" max="25" width="22.85546875" customWidth="1"/>
    <col min="26" max="26" width="10.28515625" bestFit="1" customWidth="1"/>
  </cols>
  <sheetData>
    <row r="1" spans="1:25">
      <c r="A1" s="168"/>
      <c r="B1" s="168"/>
      <c r="C1" s="168"/>
      <c r="D1" s="168"/>
      <c r="E1" s="168"/>
      <c r="F1" s="168"/>
      <c r="G1" s="168"/>
      <c r="H1" s="168"/>
      <c r="I1" s="168"/>
      <c r="J1" s="168"/>
      <c r="K1" s="168"/>
      <c r="L1" s="168"/>
      <c r="M1" s="168"/>
      <c r="N1" s="168"/>
      <c r="O1" s="168"/>
      <c r="P1" s="168"/>
    </row>
    <row r="2" spans="1:25" ht="21" customHeight="1" thickBot="1">
      <c r="A2" s="3032" t="s">
        <v>271</v>
      </c>
      <c r="B2" s="3032"/>
      <c r="C2" s="3032"/>
      <c r="D2" s="3032"/>
      <c r="E2" s="168"/>
      <c r="F2" s="168"/>
      <c r="G2" s="168"/>
      <c r="H2" s="168"/>
      <c r="I2" s="168"/>
      <c r="J2" s="168"/>
      <c r="K2" s="168"/>
      <c r="L2" s="168"/>
      <c r="M2" s="168"/>
      <c r="N2" s="168"/>
      <c r="O2" s="168"/>
      <c r="P2" s="168"/>
    </row>
    <row r="3" spans="1:25" ht="36" customHeight="1" thickBot="1">
      <c r="A3" s="168"/>
      <c r="B3" s="178" t="s">
        <v>441</v>
      </c>
      <c r="C3" s="178"/>
      <c r="D3" s="178"/>
      <c r="E3" s="168"/>
      <c r="F3" s="169"/>
      <c r="G3" s="170"/>
      <c r="H3" s="168"/>
      <c r="I3" s="168"/>
      <c r="J3" s="168"/>
      <c r="K3" s="168"/>
      <c r="L3" s="168"/>
      <c r="M3" s="168"/>
      <c r="N3" s="168"/>
      <c r="O3" s="168"/>
      <c r="P3" s="168"/>
      <c r="Y3">
        <v>71650</v>
      </c>
    </row>
    <row r="4" spans="1:25" ht="24.75" customHeight="1" thickBot="1">
      <c r="A4" s="171" t="s">
        <v>131</v>
      </c>
      <c r="B4" s="72" t="s">
        <v>66</v>
      </c>
      <c r="C4" s="72" t="s">
        <v>67</v>
      </c>
      <c r="D4" s="72" t="s">
        <v>68</v>
      </c>
      <c r="E4" s="72" t="s">
        <v>69</v>
      </c>
      <c r="F4" s="73" t="s">
        <v>70</v>
      </c>
      <c r="G4" s="73" t="s">
        <v>71</v>
      </c>
      <c r="H4" s="72" t="s">
        <v>72</v>
      </c>
      <c r="I4" s="72" t="s">
        <v>73</v>
      </c>
      <c r="J4" s="72" t="s">
        <v>74</v>
      </c>
      <c r="K4" s="72" t="s">
        <v>75</v>
      </c>
      <c r="L4" s="72" t="s">
        <v>77</v>
      </c>
      <c r="M4" s="74" t="s">
        <v>76</v>
      </c>
      <c r="N4" s="172" t="s">
        <v>82</v>
      </c>
      <c r="O4" s="607" t="s">
        <v>297</v>
      </c>
      <c r="P4" s="607" t="s">
        <v>296</v>
      </c>
      <c r="Q4" s="423" t="s">
        <v>255</v>
      </c>
      <c r="R4" s="424" t="s">
        <v>256</v>
      </c>
      <c r="S4" s="424" t="s">
        <v>265</v>
      </c>
      <c r="T4" s="425" t="s">
        <v>257</v>
      </c>
      <c r="U4" s="426"/>
      <c r="V4" s="165"/>
      <c r="W4" s="4"/>
      <c r="Y4">
        <v>-72050</v>
      </c>
    </row>
    <row r="5" spans="1:25" ht="21.75" customHeight="1" thickBot="1">
      <c r="A5" s="173">
        <v>600</v>
      </c>
      <c r="B5" s="194">
        <v>5248</v>
      </c>
      <c r="C5" s="194">
        <v>3322</v>
      </c>
      <c r="D5" s="194">
        <v>3313</v>
      </c>
      <c r="E5" s="194">
        <v>3313</v>
      </c>
      <c r="F5" s="194">
        <v>3313</v>
      </c>
      <c r="G5" s="194">
        <v>3313</v>
      </c>
      <c r="H5" s="194">
        <v>3313</v>
      </c>
      <c r="I5" s="194">
        <v>3313</v>
      </c>
      <c r="J5" s="194">
        <v>3313</v>
      </c>
      <c r="K5" s="194">
        <f>3313-1000</f>
        <v>2313</v>
      </c>
      <c r="L5" s="194">
        <f>3313-700</f>
        <v>2613</v>
      </c>
      <c r="M5" s="194">
        <v>3313</v>
      </c>
      <c r="N5" s="188">
        <f>SUM(B5:M5)</f>
        <v>40000</v>
      </c>
      <c r="O5" s="608"/>
      <c r="P5" s="608"/>
      <c r="Q5" s="626"/>
      <c r="R5" s="627"/>
      <c r="S5" s="627"/>
      <c r="T5" s="628"/>
      <c r="U5" s="207"/>
      <c r="V5" s="428"/>
      <c r="W5" s="71"/>
      <c r="Y5">
        <f>SUM(Y3:Y4)</f>
        <v>-400</v>
      </c>
    </row>
    <row r="6" spans="1:25" ht="24" customHeight="1" thickBot="1">
      <c r="A6" s="174">
        <v>601</v>
      </c>
      <c r="B6" s="195">
        <v>555</v>
      </c>
      <c r="C6" s="195">
        <v>555</v>
      </c>
      <c r="D6" s="195">
        <v>555</v>
      </c>
      <c r="E6" s="195">
        <v>555</v>
      </c>
      <c r="F6" s="195">
        <v>555</v>
      </c>
      <c r="G6" s="195">
        <v>555</v>
      </c>
      <c r="H6" s="195">
        <v>555</v>
      </c>
      <c r="I6" s="195">
        <v>555</v>
      </c>
      <c r="J6" s="195">
        <v>555</v>
      </c>
      <c r="K6" s="195">
        <f>555-300</f>
        <v>255</v>
      </c>
      <c r="L6" s="195">
        <v>555</v>
      </c>
      <c r="M6" s="195">
        <v>555</v>
      </c>
      <c r="N6" s="190">
        <f>SUM(B6:M6)</f>
        <v>6360</v>
      </c>
      <c r="O6" s="608"/>
      <c r="P6" s="608"/>
      <c r="Q6" s="427"/>
      <c r="R6" s="402"/>
      <c r="S6" s="402"/>
      <c r="T6" s="404"/>
      <c r="U6" s="179"/>
      <c r="V6" s="428"/>
      <c r="W6" s="71"/>
    </row>
    <row r="7" spans="1:25" ht="23.25" customHeight="1" thickBot="1">
      <c r="A7" s="175" t="s">
        <v>81</v>
      </c>
      <c r="B7" s="197">
        <f t="shared" ref="B7:M7" si="0">SUM(B5:B6)</f>
        <v>5803</v>
      </c>
      <c r="C7" s="197">
        <f t="shared" si="0"/>
        <v>3877</v>
      </c>
      <c r="D7" s="197">
        <f t="shared" si="0"/>
        <v>3868</v>
      </c>
      <c r="E7" s="197">
        <f t="shared" si="0"/>
        <v>3868</v>
      </c>
      <c r="F7" s="197">
        <f t="shared" si="0"/>
        <v>3868</v>
      </c>
      <c r="G7" s="197">
        <f t="shared" si="0"/>
        <v>3868</v>
      </c>
      <c r="H7" s="197">
        <f t="shared" si="0"/>
        <v>3868</v>
      </c>
      <c r="I7" s="197">
        <f t="shared" si="0"/>
        <v>3868</v>
      </c>
      <c r="J7" s="197">
        <f t="shared" si="0"/>
        <v>3868</v>
      </c>
      <c r="K7" s="197">
        <f>SUM(K5:K6)</f>
        <v>2568</v>
      </c>
      <c r="L7" s="197">
        <f t="shared" si="0"/>
        <v>3168</v>
      </c>
      <c r="M7" s="198">
        <f t="shared" si="0"/>
        <v>3868</v>
      </c>
      <c r="N7" s="190">
        <f>SUM(B7:M7)</f>
        <v>46360</v>
      </c>
      <c r="O7" s="190"/>
      <c r="P7" s="190"/>
      <c r="Q7" s="621"/>
      <c r="R7" s="624"/>
      <c r="S7" s="624"/>
      <c r="T7" s="625"/>
      <c r="U7" s="179"/>
      <c r="V7" s="428"/>
      <c r="W7" s="71"/>
    </row>
    <row r="8" spans="1:25" ht="27.75" customHeight="1" thickBot="1">
      <c r="A8" s="176">
        <v>602</v>
      </c>
      <c r="B8" s="199">
        <v>9000</v>
      </c>
      <c r="C8" s="199">
        <v>1000</v>
      </c>
      <c r="D8" s="199">
        <v>1000</v>
      </c>
      <c r="E8" s="199">
        <v>1000</v>
      </c>
      <c r="F8" s="199">
        <v>1000</v>
      </c>
      <c r="G8" s="199">
        <f>1000+1000</f>
        <v>2000</v>
      </c>
      <c r="H8" s="199">
        <v>1000</v>
      </c>
      <c r="I8" s="199">
        <v>1000</v>
      </c>
      <c r="J8" s="199">
        <f>1000+200</f>
        <v>1200</v>
      </c>
      <c r="K8" s="199">
        <v>1000</v>
      </c>
      <c r="L8" s="199">
        <v>1000</v>
      </c>
      <c r="M8" s="199">
        <v>1000</v>
      </c>
      <c r="N8" s="191">
        <f>SUM(B8:M8)</f>
        <v>21200</v>
      </c>
      <c r="O8" s="608"/>
      <c r="P8" s="608"/>
      <c r="Q8" s="621"/>
      <c r="R8" s="622"/>
      <c r="S8" s="622"/>
      <c r="T8" s="623"/>
      <c r="U8" s="422"/>
      <c r="V8" s="429"/>
      <c r="W8" s="209"/>
    </row>
    <row r="9" spans="1:25" ht="27" customHeight="1" thickBot="1">
      <c r="A9" s="846" t="s">
        <v>79</v>
      </c>
      <c r="B9" s="847">
        <f t="shared" ref="B9:M9" si="1">SUM(B7:B8)</f>
        <v>14803</v>
      </c>
      <c r="C9" s="847">
        <f t="shared" si="1"/>
        <v>4877</v>
      </c>
      <c r="D9" s="847">
        <f>SUM(D7:D8)</f>
        <v>4868</v>
      </c>
      <c r="E9" s="847">
        <f t="shared" si="1"/>
        <v>4868</v>
      </c>
      <c r="F9" s="847">
        <f t="shared" si="1"/>
        <v>4868</v>
      </c>
      <c r="G9" s="847">
        <f t="shared" si="1"/>
        <v>5868</v>
      </c>
      <c r="H9" s="847">
        <f t="shared" si="1"/>
        <v>4868</v>
      </c>
      <c r="I9" s="847">
        <f t="shared" si="1"/>
        <v>4868</v>
      </c>
      <c r="J9" s="847">
        <f t="shared" si="1"/>
        <v>5068</v>
      </c>
      <c r="K9" s="847">
        <f t="shared" si="1"/>
        <v>3568</v>
      </c>
      <c r="L9" s="847">
        <f t="shared" si="1"/>
        <v>4168</v>
      </c>
      <c r="M9" s="848">
        <f t="shared" si="1"/>
        <v>4868</v>
      </c>
      <c r="N9" s="659">
        <f>SUM(N7:N8)</f>
        <v>67560</v>
      </c>
      <c r="O9" s="187"/>
      <c r="P9" s="608"/>
      <c r="Q9" s="620"/>
      <c r="R9" s="620"/>
      <c r="S9" s="620"/>
      <c r="T9" s="620"/>
      <c r="U9" s="430"/>
      <c r="V9" s="431"/>
      <c r="W9" s="5"/>
    </row>
    <row r="10" spans="1:25" ht="27" customHeight="1">
      <c r="A10" s="174">
        <v>231</v>
      </c>
      <c r="B10" s="197">
        <v>0</v>
      </c>
      <c r="C10" s="197">
        <v>0</v>
      </c>
      <c r="D10" s="197"/>
      <c r="E10" s="197"/>
      <c r="F10" s="197"/>
      <c r="G10" s="197"/>
      <c r="H10" s="197"/>
      <c r="I10" s="197"/>
      <c r="J10" s="197"/>
      <c r="K10" s="197"/>
      <c r="L10" s="197"/>
      <c r="M10" s="197"/>
      <c r="N10" s="191">
        <v>8000</v>
      </c>
      <c r="O10" s="609"/>
      <c r="P10" s="609"/>
      <c r="Q10" s="609"/>
      <c r="R10" s="609"/>
      <c r="S10" s="609"/>
      <c r="T10" s="609"/>
      <c r="U10" s="632"/>
      <c r="V10" s="632"/>
      <c r="W10" s="5"/>
    </row>
    <row r="11" spans="1:25" ht="16.5" thickBot="1">
      <c r="A11" s="168"/>
      <c r="B11" s="200"/>
      <c r="C11" s="200"/>
      <c r="D11" s="200"/>
      <c r="E11" s="180" t="s">
        <v>442</v>
      </c>
      <c r="F11" s="180"/>
      <c r="G11" s="200"/>
      <c r="H11" s="200"/>
      <c r="I11" s="200"/>
      <c r="J11" s="200"/>
      <c r="K11" s="200"/>
      <c r="L11" s="200"/>
      <c r="M11" s="200"/>
      <c r="N11" s="849">
        <f>SUM(N9:N10)</f>
        <v>75560</v>
      </c>
      <c r="O11" s="418"/>
      <c r="P11" s="418"/>
      <c r="Q11" s="403"/>
      <c r="R11" s="404"/>
      <c r="S11" s="404"/>
      <c r="T11" s="177"/>
      <c r="U11" s="5"/>
      <c r="V11" s="5"/>
      <c r="W11" s="5"/>
    </row>
    <row r="12" spans="1:25" ht="20.100000000000001" customHeight="1" thickBot="1">
      <c r="A12" s="168"/>
      <c r="B12" s="200"/>
      <c r="C12" s="180"/>
      <c r="D12" s="180"/>
      <c r="E12" s="200"/>
      <c r="F12" s="200"/>
      <c r="G12" s="200"/>
      <c r="H12" s="200"/>
      <c r="I12" s="200"/>
      <c r="J12" s="200"/>
      <c r="K12" s="200" t="s">
        <v>129</v>
      </c>
      <c r="L12" s="200" t="s">
        <v>123</v>
      </c>
      <c r="M12" s="200" t="s">
        <v>122</v>
      </c>
      <c r="N12" s="201"/>
      <c r="O12" s="201"/>
      <c r="P12" s="201"/>
      <c r="Q12" s="200"/>
      <c r="R12" s="419"/>
      <c r="S12" s="448"/>
      <c r="T12" s="420"/>
      <c r="U12" s="420"/>
      <c r="V12" s="421"/>
      <c r="W12" s="5"/>
    </row>
    <row r="13" spans="1:25" ht="20.100000000000001" customHeight="1" thickBot="1">
      <c r="A13" s="168"/>
      <c r="B13" s="200"/>
      <c r="C13" s="202" t="s">
        <v>67</v>
      </c>
      <c r="D13" s="202" t="s">
        <v>68</v>
      </c>
      <c r="E13" s="202" t="s">
        <v>69</v>
      </c>
      <c r="F13" s="202" t="s">
        <v>70</v>
      </c>
      <c r="G13" s="202" t="s">
        <v>71</v>
      </c>
      <c r="H13" s="202" t="s">
        <v>72</v>
      </c>
      <c r="I13" s="202" t="s">
        <v>73</v>
      </c>
      <c r="J13" s="202" t="s">
        <v>74</v>
      </c>
      <c r="K13" s="202" t="s">
        <v>75</v>
      </c>
      <c r="L13" s="202" t="s">
        <v>77</v>
      </c>
      <c r="M13" s="203" t="s">
        <v>76</v>
      </c>
      <c r="N13" s="187" t="s">
        <v>82</v>
      </c>
      <c r="O13" s="609"/>
      <c r="P13" s="609"/>
      <c r="Q13" s="200"/>
      <c r="R13" s="404"/>
      <c r="S13" s="409"/>
      <c r="T13" s="409"/>
      <c r="U13" s="409"/>
      <c r="V13" s="407"/>
      <c r="W13" s="441"/>
    </row>
    <row r="14" spans="1:25" ht="20.100000000000001" customHeight="1">
      <c r="A14" s="182">
        <v>600</v>
      </c>
      <c r="B14" s="204"/>
      <c r="C14" s="181">
        <f>SUM(B5:C5)</f>
        <v>8570</v>
      </c>
      <c r="D14" s="181">
        <f>SUM(B5:D5)</f>
        <v>11883</v>
      </c>
      <c r="E14" s="181">
        <f>SUM(B5:E5)</f>
        <v>15196</v>
      </c>
      <c r="F14" s="181">
        <f>SUM(B5:F5)</f>
        <v>18509</v>
      </c>
      <c r="G14" s="181">
        <f>SUM(B5:G5)</f>
        <v>21822</v>
      </c>
      <c r="H14" s="181">
        <f>SUM(B5:H5)</f>
        <v>25135</v>
      </c>
      <c r="I14" s="181">
        <f>SUM(B5:I5)</f>
        <v>28448</v>
      </c>
      <c r="J14" s="181">
        <f>SUM(B5:J5)</f>
        <v>31761</v>
      </c>
      <c r="K14" s="181">
        <f>SUM(B5:K5)</f>
        <v>34074</v>
      </c>
      <c r="L14" s="181">
        <f>SUM(B5:L5)</f>
        <v>36687</v>
      </c>
      <c r="M14" s="181">
        <f>SUM(B5:M5)</f>
        <v>40000</v>
      </c>
      <c r="N14" s="188">
        <f>M14</f>
        <v>40000</v>
      </c>
      <c r="O14" s="633"/>
      <c r="P14" s="609"/>
      <c r="Q14" s="200"/>
      <c r="R14" s="404"/>
      <c r="S14" s="416"/>
      <c r="T14" s="416"/>
      <c r="U14" s="416"/>
      <c r="V14" s="417"/>
      <c r="W14" s="5"/>
    </row>
    <row r="15" spans="1:25" ht="20.100000000000001" customHeight="1">
      <c r="A15" s="183">
        <v>601</v>
      </c>
      <c r="B15" s="205"/>
      <c r="C15" s="181">
        <f>SUM(B6:C6)</f>
        <v>1110</v>
      </c>
      <c r="D15" s="181">
        <f>SUM(B6:D6)</f>
        <v>1665</v>
      </c>
      <c r="E15" s="181">
        <f>SUM(B6:E6)</f>
        <v>2220</v>
      </c>
      <c r="F15" s="181">
        <f>SUM(B6:F6)</f>
        <v>2775</v>
      </c>
      <c r="G15" s="181">
        <f>SUM(B6:G6)</f>
        <v>3330</v>
      </c>
      <c r="H15" s="181">
        <f>SUM(B6:H6)</f>
        <v>3885</v>
      </c>
      <c r="I15" s="181">
        <f>SUM(B6:I6)</f>
        <v>4440</v>
      </c>
      <c r="J15" s="181">
        <f>SUM(B6:J6)</f>
        <v>4995</v>
      </c>
      <c r="K15" s="181">
        <f>SUM(B6:K6)-300</f>
        <v>4950</v>
      </c>
      <c r="L15" s="181">
        <f>SUM(B6:L6)</f>
        <v>5805</v>
      </c>
      <c r="M15" s="189">
        <f>SUM(B6:M6)</f>
        <v>6360</v>
      </c>
      <c r="N15" s="188">
        <f>M15</f>
        <v>6360</v>
      </c>
      <c r="O15" s="609"/>
      <c r="P15" s="609"/>
      <c r="Q15" s="200"/>
      <c r="R15" s="635"/>
      <c r="S15" s="416"/>
      <c r="T15" s="416"/>
      <c r="U15" s="416"/>
      <c r="V15" s="416"/>
      <c r="W15" s="5"/>
    </row>
    <row r="16" spans="1:25" ht="20.100000000000001" customHeight="1">
      <c r="A16" s="184" t="s">
        <v>81</v>
      </c>
      <c r="B16" s="205"/>
      <c r="C16" s="181">
        <f>SUM(B7:C7)</f>
        <v>9680</v>
      </c>
      <c r="D16" s="181">
        <f>SUM(B7:D7)</f>
        <v>13548</v>
      </c>
      <c r="E16" s="181">
        <f>SUM(B7:E7)</f>
        <v>17416</v>
      </c>
      <c r="F16" s="181">
        <f>SUM(B7:F7)</f>
        <v>21284</v>
      </c>
      <c r="G16" s="181">
        <f>SUM(B7:G7)</f>
        <v>25152</v>
      </c>
      <c r="H16" s="181">
        <f>SUM(B7:H7)</f>
        <v>29020</v>
      </c>
      <c r="I16" s="181">
        <f>SUM(B7:I7)</f>
        <v>32888</v>
      </c>
      <c r="J16" s="181">
        <f>SUM(B7:J7)</f>
        <v>36756</v>
      </c>
      <c r="K16" s="181">
        <f>SUM(B7:K7)</f>
        <v>39324</v>
      </c>
      <c r="L16" s="181">
        <f>SUM(B7:L7)</f>
        <v>42492</v>
      </c>
      <c r="M16" s="181">
        <f>SUM(B7:M7)</f>
        <v>46360</v>
      </c>
      <c r="N16" s="188">
        <f>M16</f>
        <v>46360</v>
      </c>
      <c r="O16" s="609"/>
      <c r="P16" s="609"/>
      <c r="Q16" s="200"/>
      <c r="R16" s="449"/>
      <c r="S16" s="415"/>
      <c r="T16" s="416"/>
      <c r="U16" s="416"/>
      <c r="V16" s="416"/>
      <c r="W16" s="5"/>
    </row>
    <row r="17" spans="1:30" ht="20.100000000000001" customHeight="1">
      <c r="A17" s="183">
        <v>602</v>
      </c>
      <c r="B17" s="205"/>
      <c r="C17" s="181">
        <f>SUM(B8:C8)</f>
        <v>10000</v>
      </c>
      <c r="D17" s="181">
        <f>SUM(B8:D8)</f>
        <v>11000</v>
      </c>
      <c r="E17" s="181">
        <f>SUM(B8:E8)</f>
        <v>12000</v>
      </c>
      <c r="F17" s="181">
        <f>SUM(B8:F8)</f>
        <v>13000</v>
      </c>
      <c r="G17" s="181">
        <f>SUM(B8:G8)</f>
        <v>15000</v>
      </c>
      <c r="H17" s="181">
        <f>SUM(B8:H8)</f>
        <v>16000</v>
      </c>
      <c r="I17" s="181">
        <f>SUM(B8:I8)</f>
        <v>17000</v>
      </c>
      <c r="J17" s="181">
        <f>SUM(B8:J8)</f>
        <v>18200</v>
      </c>
      <c r="K17" s="181">
        <f>SUM(B8:K8)</f>
        <v>19200</v>
      </c>
      <c r="L17" s="181">
        <f>SUM(B8:L8)</f>
        <v>20200</v>
      </c>
      <c r="M17" s="181">
        <f>SUM(B8:M8)</f>
        <v>21200</v>
      </c>
      <c r="N17" s="188">
        <f>M17</f>
        <v>21200</v>
      </c>
      <c r="O17" s="609"/>
      <c r="P17" s="609"/>
      <c r="Q17" s="200"/>
      <c r="R17" s="404"/>
      <c r="S17" s="409"/>
      <c r="T17" s="409"/>
      <c r="U17" s="409"/>
      <c r="V17" s="409"/>
      <c r="W17" s="71"/>
    </row>
    <row r="18" spans="1:30" ht="20.100000000000001" customHeight="1" thickBot="1">
      <c r="A18" s="183" t="s">
        <v>79</v>
      </c>
      <c r="B18" s="205"/>
      <c r="C18" s="181">
        <f t="shared" ref="C18:L18" si="2">SUM(C16:C17)</f>
        <v>19680</v>
      </c>
      <c r="D18" s="181">
        <f t="shared" si="2"/>
        <v>24548</v>
      </c>
      <c r="E18" s="181">
        <f t="shared" si="2"/>
        <v>29416</v>
      </c>
      <c r="F18" s="181">
        <f t="shared" si="2"/>
        <v>34284</v>
      </c>
      <c r="G18" s="181">
        <f t="shared" si="2"/>
        <v>40152</v>
      </c>
      <c r="H18" s="181">
        <f>SUM(H16:H17)</f>
        <v>45020</v>
      </c>
      <c r="I18" s="181">
        <f>SUM(I16:I17)</f>
        <v>49888</v>
      </c>
      <c r="J18" s="181">
        <f t="shared" si="2"/>
        <v>54956</v>
      </c>
      <c r="K18" s="181">
        <f t="shared" si="2"/>
        <v>58524</v>
      </c>
      <c r="L18" s="181">
        <f t="shared" si="2"/>
        <v>62692</v>
      </c>
      <c r="M18" s="181">
        <f>SUM(M16:M17)</f>
        <v>67560</v>
      </c>
      <c r="N18" s="188">
        <f>M18</f>
        <v>67560</v>
      </c>
      <c r="O18" s="609"/>
      <c r="P18" s="609"/>
      <c r="Q18" s="200"/>
      <c r="R18" s="404"/>
      <c r="S18" s="416"/>
      <c r="T18" s="416"/>
      <c r="U18" s="4"/>
      <c r="V18" s="407"/>
      <c r="W18" s="5"/>
    </row>
    <row r="19" spans="1:30" ht="20.100000000000001" customHeight="1" thickBot="1">
      <c r="A19" s="630">
        <v>606</v>
      </c>
      <c r="B19" s="413"/>
      <c r="C19" s="439"/>
      <c r="D19" s="439"/>
      <c r="E19" s="439"/>
      <c r="F19" s="439"/>
      <c r="G19" s="439"/>
      <c r="H19" s="439"/>
      <c r="I19" s="439"/>
      <c r="J19" s="439"/>
      <c r="K19" s="439"/>
      <c r="L19" s="439"/>
      <c r="M19" s="631"/>
      <c r="N19" s="188">
        <f>SUM(K19:M19)</f>
        <v>0</v>
      </c>
      <c r="O19" s="609"/>
      <c r="P19" s="609"/>
      <c r="Q19" s="200"/>
      <c r="R19" s="419"/>
      <c r="S19" s="448"/>
      <c r="T19" s="420"/>
      <c r="U19" s="420"/>
      <c r="V19" s="421"/>
      <c r="W19" s="5"/>
    </row>
    <row r="20" spans="1:30" ht="20.100000000000001" customHeight="1" thickBot="1">
      <c r="A20" s="185" t="s">
        <v>132</v>
      </c>
      <c r="B20" s="206"/>
      <c r="C20" s="186"/>
      <c r="D20" s="186"/>
      <c r="E20" s="186"/>
      <c r="F20" s="186"/>
      <c r="G20" s="186"/>
      <c r="H20" s="186"/>
      <c r="I20" s="186"/>
      <c r="J20" s="186"/>
      <c r="K20" s="186"/>
      <c r="L20" s="186"/>
      <c r="M20" s="192"/>
      <c r="N20" s="191">
        <f>SUM(C20:M20)</f>
        <v>0</v>
      </c>
      <c r="O20" s="609"/>
      <c r="P20" s="609"/>
      <c r="Q20" s="200"/>
      <c r="R20" s="404"/>
      <c r="S20" s="409"/>
      <c r="T20" s="409"/>
      <c r="U20" s="409"/>
      <c r="V20" s="407"/>
      <c r="W20" s="5"/>
    </row>
    <row r="21" spans="1:30" ht="20.100000000000001" customHeight="1" thickBot="1">
      <c r="A21" s="168"/>
      <c r="B21" s="200"/>
      <c r="C21" s="180">
        <f>SUM(C18:C20)</f>
        <v>19680</v>
      </c>
      <c r="D21" s="180">
        <f>SUM(D18:D20)</f>
        <v>24548</v>
      </c>
      <c r="E21" s="180">
        <f>SUM(E18:E20)</f>
        <v>29416</v>
      </c>
      <c r="F21" s="180">
        <f t="shared" ref="F21:M21" si="3">SUM(F18:F20)</f>
        <v>34284</v>
      </c>
      <c r="G21" s="180">
        <f t="shared" si="3"/>
        <v>40152</v>
      </c>
      <c r="H21" s="180">
        <f t="shared" si="3"/>
        <v>45020</v>
      </c>
      <c r="I21" s="180">
        <f t="shared" si="3"/>
        <v>49888</v>
      </c>
      <c r="J21" s="180">
        <f t="shared" si="3"/>
        <v>54956</v>
      </c>
      <c r="K21" s="180">
        <f>SUM(K18:K20)</f>
        <v>58524</v>
      </c>
      <c r="L21" s="180">
        <f t="shared" si="3"/>
        <v>62692</v>
      </c>
      <c r="M21" s="180">
        <f t="shared" si="3"/>
        <v>67560</v>
      </c>
      <c r="N21" s="193">
        <f>SUM(N18:N20)</f>
        <v>67560</v>
      </c>
      <c r="O21" s="418"/>
      <c r="P21" s="418"/>
      <c r="Q21" s="200"/>
      <c r="R21" s="404"/>
      <c r="S21" s="416"/>
      <c r="T21" s="416"/>
      <c r="U21" s="416"/>
      <c r="V21" s="417"/>
      <c r="W21" s="5"/>
    </row>
    <row r="22" spans="1:30" ht="20.100000000000001" customHeight="1">
      <c r="A22" s="168"/>
      <c r="B22" s="200"/>
      <c r="C22" s="180"/>
      <c r="D22" s="180"/>
      <c r="E22" s="180"/>
      <c r="F22" s="180"/>
      <c r="G22" s="180"/>
      <c r="H22" s="180"/>
      <c r="I22" s="180"/>
      <c r="J22" s="180"/>
      <c r="K22" s="180"/>
      <c r="L22" s="180"/>
      <c r="M22" s="180"/>
      <c r="N22" s="418"/>
      <c r="O22" s="418"/>
      <c r="P22" s="418"/>
      <c r="Q22" s="200"/>
      <c r="R22" s="207"/>
      <c r="S22" s="416"/>
      <c r="T22" s="416"/>
      <c r="U22" s="416"/>
      <c r="V22" s="416"/>
      <c r="W22" s="5"/>
    </row>
    <row r="23" spans="1:30" ht="20.100000000000001" customHeight="1">
      <c r="A23" s="168"/>
      <c r="B23" s="168"/>
      <c r="C23" s="178"/>
      <c r="D23" s="178"/>
      <c r="E23" s="178"/>
      <c r="F23" s="179"/>
      <c r="G23" s="179"/>
      <c r="H23" s="179"/>
      <c r="I23" s="179"/>
      <c r="J23" s="201"/>
      <c r="K23" s="177"/>
      <c r="L23" s="177"/>
      <c r="M23" s="177"/>
      <c r="N23" s="168"/>
      <c r="O23" s="168"/>
      <c r="P23" s="200">
        <f>SUM(P21:P22)</f>
        <v>0</v>
      </c>
      <c r="R23" s="449"/>
      <c r="S23" s="415"/>
      <c r="T23" s="407"/>
      <c r="U23" s="407"/>
      <c r="V23" s="407"/>
      <c r="W23" s="168"/>
      <c r="X23" s="168"/>
      <c r="Y23" s="168"/>
      <c r="Z23" s="168"/>
      <c r="AA23" s="168"/>
      <c r="AB23" s="168"/>
      <c r="AC23" s="168"/>
      <c r="AD23" s="168"/>
    </row>
    <row r="24" spans="1:30" ht="29.25" customHeight="1">
      <c r="A24" s="178" t="s">
        <v>298</v>
      </c>
      <c r="B24" s="178"/>
      <c r="C24" s="178"/>
      <c r="D24" s="178"/>
      <c r="E24" s="178"/>
      <c r="F24" s="178"/>
      <c r="G24" s="178"/>
      <c r="H24" s="168"/>
      <c r="I24" s="168"/>
      <c r="J24" s="200"/>
      <c r="K24" s="168"/>
      <c r="L24" s="177"/>
      <c r="M24" s="177"/>
      <c r="N24" s="177"/>
      <c r="O24" s="177"/>
      <c r="P24" s="177"/>
      <c r="Q24" s="406"/>
      <c r="R24" s="405"/>
      <c r="S24" s="405"/>
      <c r="T24" s="177"/>
      <c r="U24" s="167"/>
      <c r="V24" s="167"/>
      <c r="W24" s="167"/>
      <c r="X24" s="166"/>
      <c r="Y24" s="177"/>
      <c r="Z24" s="177"/>
      <c r="AA24" s="177"/>
      <c r="AB24" s="177"/>
      <c r="AC24" s="168"/>
      <c r="AD24" s="168"/>
    </row>
    <row r="25" spans="1:30" ht="29.25" customHeight="1" thickBot="1">
      <c r="A25" s="168"/>
      <c r="B25" s="168"/>
      <c r="C25" s="168"/>
      <c r="D25" s="168"/>
      <c r="E25" s="168"/>
      <c r="F25" s="168"/>
      <c r="G25" s="168"/>
      <c r="H25" s="168"/>
      <c r="I25" s="168"/>
      <c r="J25" s="200"/>
      <c r="K25" s="200"/>
      <c r="L25" s="177"/>
      <c r="M25" s="177"/>
      <c r="N25" s="408"/>
      <c r="O25" s="408"/>
      <c r="P25" s="408"/>
      <c r="Q25" s="406"/>
      <c r="R25" s="405"/>
      <c r="S25" s="405"/>
      <c r="T25" s="177"/>
      <c r="U25" s="167"/>
      <c r="V25" s="167"/>
      <c r="W25" s="167"/>
      <c r="X25" s="166"/>
      <c r="Y25" s="177"/>
      <c r="Z25" s="177"/>
      <c r="AA25" s="177"/>
      <c r="AB25" s="177"/>
      <c r="AC25" s="168"/>
      <c r="AD25" s="168"/>
    </row>
    <row r="26" spans="1:30" s="196" customFormat="1" ht="29.25" customHeight="1" thickBot="1">
      <c r="A26" s="442" t="s">
        <v>262</v>
      </c>
      <c r="B26" s="204"/>
      <c r="C26" s="204" t="s">
        <v>258</v>
      </c>
      <c r="D26" s="591" t="s">
        <v>260</v>
      </c>
      <c r="E26" s="590" t="s">
        <v>261</v>
      </c>
      <c r="F26" s="584" t="s">
        <v>260</v>
      </c>
      <c r="G26" s="590" t="s">
        <v>261</v>
      </c>
      <c r="H26" s="591" t="s">
        <v>260</v>
      </c>
      <c r="I26" s="591" t="s">
        <v>260</v>
      </c>
      <c r="J26" s="590" t="s">
        <v>261</v>
      </c>
      <c r="K26" s="435" t="s">
        <v>127</v>
      </c>
      <c r="L26" s="436" t="s">
        <v>124</v>
      </c>
      <c r="M26" s="208" t="s">
        <v>276</v>
      </c>
      <c r="N26" s="408"/>
      <c r="O26" s="408"/>
      <c r="P26" s="408"/>
      <c r="Q26" s="404"/>
      <c r="R26" s="410"/>
      <c r="S26" s="410"/>
      <c r="T26" s="404"/>
      <c r="U26" s="411"/>
      <c r="V26" s="411"/>
      <c r="W26" s="411"/>
      <c r="X26" s="412"/>
      <c r="Y26" s="201"/>
      <c r="Z26" s="201"/>
      <c r="AA26" s="201"/>
      <c r="AB26" s="201"/>
      <c r="AC26" s="200"/>
      <c r="AD26" s="200"/>
    </row>
    <row r="27" spans="1:30" s="196" customFormat="1" ht="29.25" customHeight="1" thickBot="1">
      <c r="A27" s="437" t="s">
        <v>259</v>
      </c>
      <c r="B27" s="206"/>
      <c r="C27" s="594" t="s">
        <v>299</v>
      </c>
      <c r="D27" s="596" t="s">
        <v>295</v>
      </c>
      <c r="E27" s="593"/>
      <c r="F27" s="595"/>
      <c r="G27" s="592"/>
      <c r="H27" s="606"/>
      <c r="I27" s="614"/>
      <c r="J27" s="615"/>
      <c r="K27" s="613" t="s">
        <v>128</v>
      </c>
      <c r="L27" s="439" t="s">
        <v>125</v>
      </c>
      <c r="M27" s="192" t="s">
        <v>165</v>
      </c>
      <c r="N27" s="201" t="s">
        <v>277</v>
      </c>
      <c r="O27" s="201"/>
      <c r="P27" s="201">
        <f>P25-P26</f>
        <v>0</v>
      </c>
      <c r="Q27" s="404"/>
      <c r="R27" s="410"/>
      <c r="S27" s="410"/>
      <c r="T27" s="404"/>
      <c r="U27" s="404"/>
      <c r="V27" s="404"/>
      <c r="W27" s="411"/>
      <c r="X27" s="412"/>
      <c r="Y27" s="201"/>
      <c r="Z27" s="201"/>
      <c r="AA27" s="201"/>
      <c r="AB27" s="201"/>
      <c r="AC27" s="200"/>
      <c r="AD27" s="200"/>
    </row>
    <row r="28" spans="1:30" s="196" customFormat="1" ht="29.25" customHeight="1" thickBot="1">
      <c r="A28" s="443">
        <v>600</v>
      </c>
      <c r="B28" s="414"/>
      <c r="C28" s="443">
        <v>42579</v>
      </c>
      <c r="D28" s="585"/>
      <c r="E28" s="438"/>
      <c r="F28" s="585"/>
      <c r="G28" s="438"/>
      <c r="H28" s="585"/>
      <c r="I28" s="585"/>
      <c r="J28" s="616"/>
      <c r="K28" s="432">
        <f>D28-E28+F28-G28+H28+I28-J28</f>
        <v>0</v>
      </c>
      <c r="L28" s="579">
        <f>C28+K28</f>
        <v>42579</v>
      </c>
      <c r="M28" s="207"/>
      <c r="N28" s="181"/>
      <c r="O28" s="201"/>
      <c r="P28" s="201"/>
      <c r="Q28" s="404"/>
      <c r="R28" s="410"/>
      <c r="S28" s="410"/>
      <c r="T28" s="404"/>
      <c r="U28" s="411"/>
      <c r="V28" s="411"/>
      <c r="W28" s="411"/>
      <c r="X28" s="412"/>
      <c r="Y28" s="201"/>
      <c r="Z28" s="201"/>
      <c r="AA28" s="201"/>
      <c r="AB28" s="201"/>
      <c r="AC28" s="200"/>
      <c r="AD28" s="200"/>
    </row>
    <row r="29" spans="1:30" s="196" customFormat="1" ht="29.25" customHeight="1" thickBot="1">
      <c r="A29" s="597"/>
      <c r="B29" s="204"/>
      <c r="C29" s="195"/>
      <c r="D29" s="598"/>
      <c r="E29" s="599"/>
      <c r="F29" s="598"/>
      <c r="G29" s="599"/>
      <c r="H29" s="598"/>
      <c r="I29" s="584"/>
      <c r="J29" s="617"/>
      <c r="K29" s="432">
        <f>D29-E29+F29-G29+H29</f>
        <v>0</v>
      </c>
      <c r="L29" s="579"/>
      <c r="M29" s="653"/>
      <c r="N29" s="205"/>
      <c r="O29" s="201"/>
      <c r="P29" s="201"/>
      <c r="Q29" s="404"/>
      <c r="R29" s="410"/>
      <c r="S29" s="410"/>
      <c r="T29" s="404"/>
      <c r="U29" s="404"/>
      <c r="V29" s="404"/>
      <c r="W29" s="411"/>
      <c r="X29" s="412"/>
      <c r="Y29" s="201"/>
      <c r="Z29" s="201"/>
      <c r="AA29" s="201"/>
      <c r="AB29" s="201"/>
      <c r="AC29" s="200"/>
      <c r="AD29" s="200"/>
    </row>
    <row r="30" spans="1:30" s="196" customFormat="1" ht="29.25" customHeight="1" thickBot="1">
      <c r="A30" s="181">
        <v>601</v>
      </c>
      <c r="B30" s="205"/>
      <c r="C30" s="181">
        <v>8170</v>
      </c>
      <c r="D30" s="600"/>
      <c r="E30" s="601"/>
      <c r="F30" s="600"/>
      <c r="G30" s="601"/>
      <c r="H30" s="600"/>
      <c r="I30" s="600"/>
      <c r="J30" s="618"/>
      <c r="K30" s="432">
        <f>D30-E30+F30-G30+H30+I30-J30</f>
        <v>0</v>
      </c>
      <c r="L30" s="579">
        <f>C30+K30</f>
        <v>8170</v>
      </c>
      <c r="M30" s="201"/>
      <c r="N30" s="205"/>
      <c r="O30" s="201"/>
      <c r="P30" s="201"/>
      <c r="Q30" s="404"/>
      <c r="R30" s="410"/>
      <c r="S30" s="410"/>
      <c r="T30" s="404"/>
      <c r="U30" s="411"/>
      <c r="V30" s="411"/>
      <c r="W30" s="411"/>
      <c r="X30" s="412"/>
      <c r="Y30" s="201"/>
      <c r="Z30" s="201"/>
      <c r="AA30" s="201"/>
      <c r="AB30" s="201"/>
      <c r="AC30" s="200"/>
      <c r="AD30" s="200"/>
    </row>
    <row r="31" spans="1:30" s="196" customFormat="1" ht="29.25" customHeight="1" thickBot="1">
      <c r="A31" s="602"/>
      <c r="B31" s="205"/>
      <c r="C31" s="195"/>
      <c r="D31" s="603"/>
      <c r="E31" s="601"/>
      <c r="F31" s="603"/>
      <c r="G31" s="604"/>
      <c r="H31" s="603"/>
      <c r="I31" s="205"/>
      <c r="J31" s="618"/>
      <c r="K31" s="432">
        <f>D31-E31+F31-G31+H31</f>
        <v>0</v>
      </c>
      <c r="L31" s="579"/>
      <c r="M31" s="653"/>
      <c r="N31" s="205"/>
      <c r="O31" s="201"/>
      <c r="P31" s="201"/>
      <c r="Q31" s="404"/>
      <c r="R31" s="410"/>
      <c r="S31" s="410"/>
      <c r="T31" s="404"/>
      <c r="U31" s="404"/>
      <c r="V31" s="404"/>
      <c r="W31" s="411"/>
      <c r="X31" s="412"/>
      <c r="Y31" s="201"/>
      <c r="Z31" s="201"/>
      <c r="AA31" s="201"/>
      <c r="AB31" s="201"/>
      <c r="AC31" s="200"/>
      <c r="AD31" s="200"/>
    </row>
    <row r="32" spans="1:30" s="196" customFormat="1" ht="29.25" customHeight="1" thickBot="1">
      <c r="A32" s="181">
        <v>602</v>
      </c>
      <c r="B32" s="205"/>
      <c r="C32" s="181">
        <v>17700</v>
      </c>
      <c r="D32" s="600"/>
      <c r="E32" s="601"/>
      <c r="F32" s="600"/>
      <c r="G32" s="601"/>
      <c r="H32" s="600"/>
      <c r="I32" s="601"/>
      <c r="J32" s="618"/>
      <c r="K32" s="432">
        <f>D32-E32+F32-G32+H32+I32-J32</f>
        <v>0</v>
      </c>
      <c r="L32" s="579">
        <f>C32+K32</f>
        <v>17700</v>
      </c>
      <c r="M32" s="639"/>
      <c r="N32" s="205"/>
      <c r="O32" s="201"/>
      <c r="P32" s="201"/>
      <c r="Q32" s="404"/>
      <c r="R32" s="410"/>
      <c r="S32" s="410"/>
      <c r="T32" s="404"/>
      <c r="U32" s="411"/>
      <c r="V32" s="411"/>
      <c r="W32" s="411"/>
      <c r="X32" s="412"/>
      <c r="Y32" s="201"/>
      <c r="Z32" s="201"/>
      <c r="AA32" s="201"/>
      <c r="AB32" s="201"/>
      <c r="AC32" s="200"/>
      <c r="AD32" s="200"/>
    </row>
    <row r="33" spans="1:30" s="196" customFormat="1" ht="29.25" customHeight="1" thickBot="1">
      <c r="A33" s="181">
        <v>606</v>
      </c>
      <c r="B33" s="181">
        <f>SUM(B28:B32)</f>
        <v>0</v>
      </c>
      <c r="C33" s="450"/>
      <c r="D33" s="586">
        <v>1627</v>
      </c>
      <c r="E33" s="588"/>
      <c r="F33" s="586"/>
      <c r="G33" s="588"/>
      <c r="H33" s="586"/>
      <c r="I33" s="588"/>
      <c r="J33" s="619"/>
      <c r="K33" s="580">
        <f>D33-E33+F33-G33+H33+I33-J33</f>
        <v>1627</v>
      </c>
      <c r="L33" s="581">
        <f>C33+K33</f>
        <v>1627</v>
      </c>
      <c r="M33" s="582"/>
      <c r="N33" s="205"/>
      <c r="O33" s="201"/>
      <c r="P33" s="201"/>
      <c r="Q33" s="404"/>
      <c r="R33" s="410"/>
      <c r="S33" s="410"/>
      <c r="T33" s="404"/>
      <c r="U33" s="411"/>
      <c r="V33" s="411"/>
      <c r="W33" s="411"/>
      <c r="X33" s="412"/>
      <c r="Y33" s="201"/>
      <c r="Z33" s="201"/>
      <c r="AA33" s="201"/>
      <c r="AB33" s="201"/>
      <c r="AC33" s="200"/>
      <c r="AD33" s="200"/>
    </row>
    <row r="34" spans="1:30" s="196" customFormat="1" ht="29.25" customHeight="1" thickBot="1">
      <c r="A34" s="181" t="s">
        <v>79</v>
      </c>
      <c r="B34" s="181">
        <f>SUM(B29:B33)</f>
        <v>0</v>
      </c>
      <c r="C34" s="450">
        <f>SUM(C32+C30+C28)</f>
        <v>68449</v>
      </c>
      <c r="D34" s="586">
        <f>SUM(D28:D33)</f>
        <v>1627</v>
      </c>
      <c r="E34" s="586">
        <f t="shared" ref="E34:J34" si="4">SUM(E28:E33)</f>
        <v>0</v>
      </c>
      <c r="F34" s="586">
        <f t="shared" si="4"/>
        <v>0</v>
      </c>
      <c r="G34" s="586">
        <f t="shared" si="4"/>
        <v>0</v>
      </c>
      <c r="H34" s="586">
        <f t="shared" si="4"/>
        <v>0</v>
      </c>
      <c r="I34" s="586">
        <f t="shared" si="4"/>
        <v>0</v>
      </c>
      <c r="J34" s="586">
        <f t="shared" si="4"/>
        <v>0</v>
      </c>
      <c r="K34" s="580">
        <f>D34-E34+F34-G34+H34+I34-J34</f>
        <v>1627</v>
      </c>
      <c r="L34" s="581">
        <f>SUM(L28:L33)</f>
        <v>70076</v>
      </c>
      <c r="M34" s="582"/>
      <c r="N34" s="205"/>
      <c r="O34" s="201"/>
      <c r="P34" s="201"/>
      <c r="Q34" s="404"/>
      <c r="R34" s="410"/>
      <c r="S34" s="410"/>
      <c r="T34" s="404"/>
      <c r="U34" s="411"/>
      <c r="V34" s="411"/>
      <c r="W34" s="411"/>
      <c r="X34" s="412"/>
      <c r="Y34" s="201"/>
      <c r="Z34" s="201"/>
      <c r="AA34" s="201"/>
      <c r="AB34" s="201"/>
      <c r="AC34" s="200"/>
      <c r="AD34" s="200"/>
    </row>
    <row r="35" spans="1:30" s="196" customFormat="1" ht="29.25" customHeight="1">
      <c r="A35" s="442" t="s">
        <v>132</v>
      </c>
      <c r="B35" s="204"/>
      <c r="C35" s="204" t="s">
        <v>258</v>
      </c>
      <c r="D35" s="598"/>
      <c r="E35" s="599"/>
      <c r="F35" s="598"/>
      <c r="G35" s="599"/>
      <c r="H35" s="584"/>
      <c r="I35" s="434"/>
      <c r="J35" s="204"/>
      <c r="K35" s="440" t="s">
        <v>264</v>
      </c>
      <c r="L35" s="436" t="s">
        <v>263</v>
      </c>
      <c r="M35" s="654"/>
      <c r="N35" s="656"/>
      <c r="O35" s="408"/>
      <c r="P35" s="408"/>
      <c r="Q35" s="404"/>
      <c r="R35" s="410"/>
      <c r="S35" s="410"/>
      <c r="T35" s="404"/>
      <c r="U35" s="411"/>
      <c r="V35" s="411"/>
      <c r="W35" s="411"/>
      <c r="X35" s="412"/>
      <c r="Y35" s="201"/>
      <c r="Z35" s="201"/>
      <c r="AA35" s="201"/>
      <c r="AB35" s="201"/>
      <c r="AC35" s="200"/>
      <c r="AD35" s="200"/>
    </row>
    <row r="36" spans="1:30" s="196" customFormat="1" ht="29.25" customHeight="1" thickBot="1">
      <c r="A36" s="437"/>
      <c r="B36" s="413"/>
      <c r="C36" s="199"/>
      <c r="D36" s="587"/>
      <c r="E36" s="589"/>
      <c r="F36" s="587"/>
      <c r="G36" s="589"/>
      <c r="H36" s="587"/>
      <c r="I36" s="206"/>
      <c r="J36" s="206"/>
      <c r="K36" s="605" t="s">
        <v>269</v>
      </c>
      <c r="L36" s="439" t="s">
        <v>270</v>
      </c>
      <c r="M36" s="631"/>
      <c r="N36" s="205"/>
      <c r="O36" s="201"/>
      <c r="P36" s="201"/>
      <c r="Q36" s="404"/>
      <c r="R36" s="410"/>
      <c r="S36" s="410"/>
      <c r="T36" s="404"/>
      <c r="U36" s="404"/>
      <c r="V36" s="404"/>
      <c r="W36" s="411"/>
      <c r="X36" s="412"/>
      <c r="Y36" s="201"/>
      <c r="Z36" s="201"/>
      <c r="AA36" s="201"/>
      <c r="AB36" s="201"/>
      <c r="AC36" s="200"/>
      <c r="AD36" s="200"/>
    </row>
    <row r="37" spans="1:30" s="168" customFormat="1" ht="29.25" customHeight="1">
      <c r="A37" s="645">
        <v>230</v>
      </c>
      <c r="B37" s="646"/>
      <c r="C37" s="199"/>
      <c r="D37" s="585"/>
      <c r="E37" s="438"/>
      <c r="F37" s="647"/>
      <c r="G37" s="648"/>
      <c r="H37" s="585"/>
      <c r="I37" s="649"/>
      <c r="J37" s="649"/>
      <c r="K37" s="649"/>
      <c r="L37" s="650"/>
      <c r="M37" s="655"/>
      <c r="N37" s="171"/>
    </row>
    <row r="38" spans="1:30" ht="29.25" customHeight="1">
      <c r="A38" s="450" t="s">
        <v>272</v>
      </c>
      <c r="B38" s="651"/>
      <c r="C38" s="651"/>
      <c r="D38" s="651"/>
      <c r="E38" s="651"/>
      <c r="F38" s="651"/>
      <c r="G38" s="651"/>
      <c r="H38" s="651"/>
      <c r="I38" s="651"/>
      <c r="J38" s="651"/>
      <c r="K38" s="651"/>
      <c r="L38" s="652"/>
    </row>
    <row r="39" spans="1:30" ht="21.75" customHeight="1" thickBot="1">
      <c r="A39" s="444" t="s">
        <v>268</v>
      </c>
      <c r="B39" s="445"/>
      <c r="C39" s="445"/>
      <c r="D39" s="207"/>
      <c r="E39" s="445"/>
      <c r="F39" s="445"/>
      <c r="G39" s="445"/>
      <c r="H39" s="401"/>
      <c r="I39" s="401"/>
      <c r="J39" s="401"/>
      <c r="K39" s="401"/>
      <c r="L39" s="446"/>
    </row>
    <row r="40" spans="1:30" ht="16.5" thickBot="1">
      <c r="A40" s="5"/>
      <c r="B40" s="5"/>
      <c r="C40" s="641" t="s">
        <v>274</v>
      </c>
      <c r="D40" s="583" t="s">
        <v>280</v>
      </c>
      <c r="E40" s="657" t="s">
        <v>273</v>
      </c>
      <c r="F40" s="658" t="s">
        <v>279</v>
      </c>
      <c r="G40" s="578"/>
      <c r="H40" s="669" t="s">
        <v>278</v>
      </c>
      <c r="I40" s="671" t="s">
        <v>82</v>
      </c>
      <c r="J40" s="171" t="s">
        <v>281</v>
      </c>
      <c r="K40" s="406"/>
      <c r="L40" s="196"/>
    </row>
    <row r="41" spans="1:30" ht="18" customHeight="1">
      <c r="A41" s="423">
        <v>600</v>
      </c>
      <c r="B41" s="518"/>
      <c r="C41" s="642">
        <v>44950000</v>
      </c>
      <c r="D41" s="201">
        <v>3395000</v>
      </c>
      <c r="E41" s="640">
        <f>C41-D41</f>
        <v>41555000</v>
      </c>
      <c r="F41" s="659">
        <v>30000</v>
      </c>
      <c r="G41" s="662">
        <f>E41-F41</f>
        <v>41525000</v>
      </c>
      <c r="H41" s="665">
        <v>2785844</v>
      </c>
      <c r="I41" s="642"/>
      <c r="J41" s="200">
        <v>48325</v>
      </c>
      <c r="K41" s="196"/>
      <c r="L41" s="196"/>
      <c r="M41" s="196"/>
      <c r="N41" s="196"/>
      <c r="O41" s="196"/>
      <c r="P41" s="196"/>
    </row>
    <row r="42" spans="1:30" ht="18" customHeight="1">
      <c r="A42" s="519">
        <v>601</v>
      </c>
      <c r="B42" s="179"/>
      <c r="C42" s="643">
        <v>7300000</v>
      </c>
      <c r="D42" s="639">
        <v>500000</v>
      </c>
      <c r="E42" s="640">
        <f>C42-D42</f>
        <v>6800000</v>
      </c>
      <c r="F42" s="660"/>
      <c r="G42" s="640">
        <f>E42-F42</f>
        <v>6800000</v>
      </c>
      <c r="H42" s="666">
        <v>1592000</v>
      </c>
      <c r="I42" s="642"/>
      <c r="J42" s="200">
        <v>22580</v>
      </c>
      <c r="K42" s="196"/>
      <c r="L42" s="196"/>
      <c r="M42" s="196"/>
      <c r="N42" s="196"/>
      <c r="O42" s="196"/>
      <c r="P42" s="196"/>
    </row>
    <row r="43" spans="1:30" ht="18" customHeight="1" thickBot="1">
      <c r="A43" s="519">
        <v>602</v>
      </c>
      <c r="B43" s="179"/>
      <c r="C43" s="642">
        <v>19000000</v>
      </c>
      <c r="D43" s="201">
        <v>3550000</v>
      </c>
      <c r="E43" s="640">
        <f>C43+D43</f>
        <v>22550000</v>
      </c>
      <c r="F43" s="661"/>
      <c r="G43" s="663">
        <f>E43-F43</f>
        <v>22550000</v>
      </c>
      <c r="H43" s="667"/>
      <c r="I43" s="668"/>
      <c r="J43" s="200">
        <v>4378</v>
      </c>
      <c r="K43" s="196"/>
      <c r="L43" s="196"/>
      <c r="M43" s="196"/>
      <c r="N43" s="196"/>
      <c r="O43" s="196"/>
      <c r="P43" s="196"/>
    </row>
    <row r="44" spans="1:30" ht="27.75" customHeight="1" thickBot="1">
      <c r="A44" s="520"/>
      <c r="B44" s="521"/>
      <c r="C44" s="644">
        <f>SUM(C41:C43)</f>
        <v>71250000</v>
      </c>
      <c r="D44" s="582" t="s">
        <v>82</v>
      </c>
      <c r="E44" s="433">
        <f>SUM(E41:E43)</f>
        <v>70905000</v>
      </c>
      <c r="F44" s="433">
        <f>SUM(F41:F43)</f>
        <v>30000</v>
      </c>
      <c r="G44" s="658">
        <f>SUM(G41:G43)</f>
        <v>70875000</v>
      </c>
      <c r="H44" s="664">
        <f>SUM(H41:H43)</f>
        <v>4377844</v>
      </c>
      <c r="I44" s="670">
        <f>SUM(F44:H44)</f>
        <v>75282844</v>
      </c>
      <c r="J44" s="205">
        <f>SUM(J41:J43)</f>
        <v>75283</v>
      </c>
      <c r="K44" s="196"/>
      <c r="L44" s="196"/>
      <c r="M44" s="196"/>
      <c r="N44" s="196"/>
      <c r="O44" s="196"/>
      <c r="P44" s="196"/>
    </row>
    <row r="45" spans="1:30" ht="15.75" thickBot="1">
      <c r="A45" s="177"/>
      <c r="B45" s="177"/>
      <c r="C45" s="177"/>
      <c r="D45" s="201"/>
      <c r="E45" s="201"/>
      <c r="F45" s="201"/>
      <c r="G45" s="611"/>
      <c r="H45" s="612"/>
      <c r="I45" s="612"/>
      <c r="J45" s="612"/>
      <c r="K45" s="196"/>
      <c r="L45" s="196"/>
      <c r="M45" s="196"/>
      <c r="N45" s="196"/>
      <c r="O45" s="196"/>
      <c r="P45" s="196"/>
    </row>
    <row r="46" spans="1:30" ht="15.75">
      <c r="A46" s="636">
        <v>230</v>
      </c>
      <c r="B46" s="637" t="s">
        <v>132</v>
      </c>
      <c r="C46" s="638">
        <f>2784000+1844</f>
        <v>2785844</v>
      </c>
      <c r="D46" s="177">
        <v>42579</v>
      </c>
      <c r="E46" s="177"/>
      <c r="F46" s="177"/>
      <c r="G46" s="177"/>
      <c r="H46" s="168"/>
      <c r="I46" s="168"/>
      <c r="J46" s="168"/>
    </row>
    <row r="47" spans="1:30" ht="15.75">
      <c r="A47" s="181">
        <v>230</v>
      </c>
      <c r="B47" s="181" t="s">
        <v>272</v>
      </c>
      <c r="C47" s="181">
        <v>1592000</v>
      </c>
      <c r="D47" s="177">
        <v>11568</v>
      </c>
      <c r="E47" s="177">
        <f>11*3500</f>
        <v>38500</v>
      </c>
      <c r="F47" s="177">
        <v>8170</v>
      </c>
      <c r="G47" s="177"/>
      <c r="H47" s="168"/>
      <c r="I47" s="168"/>
      <c r="J47" s="168"/>
    </row>
    <row r="48" spans="1:30" ht="15.75">
      <c r="A48" s="207" t="s">
        <v>275</v>
      </c>
      <c r="B48" s="207" t="s">
        <v>88</v>
      </c>
      <c r="C48" s="207">
        <f>SUM(C46:C47)</f>
        <v>4377844</v>
      </c>
      <c r="D48" s="177">
        <f>D46-D47</f>
        <v>31011</v>
      </c>
      <c r="E48" s="5">
        <v>12249</v>
      </c>
      <c r="F48" s="5"/>
      <c r="G48" s="5"/>
    </row>
    <row r="49" spans="1:8">
      <c r="A49" s="5"/>
      <c r="B49" s="5"/>
      <c r="C49" s="5"/>
      <c r="D49" s="5"/>
      <c r="E49" s="5">
        <f>SUM(E47:E48)</f>
        <v>50749</v>
      </c>
      <c r="F49" s="5"/>
      <c r="G49" s="5"/>
    </row>
    <row r="50" spans="1:8" ht="15.75">
      <c r="A50" s="179"/>
      <c r="B50" s="179"/>
      <c r="C50" s="179"/>
      <c r="D50" s="179"/>
      <c r="E50" s="179"/>
      <c r="F50" s="179"/>
      <c r="G50" s="610"/>
    </row>
    <row r="51" spans="1:8" ht="15.75">
      <c r="A51" s="179"/>
      <c r="B51" s="179"/>
      <c r="C51" s="179"/>
      <c r="D51" s="179"/>
      <c r="E51" s="179"/>
      <c r="F51" s="177"/>
      <c r="G51" s="610"/>
    </row>
    <row r="52" spans="1:8">
      <c r="A52" s="177"/>
      <c r="B52" s="177"/>
      <c r="C52" s="177"/>
      <c r="D52" s="177"/>
      <c r="E52" s="177"/>
      <c r="F52" s="177"/>
      <c r="G52" s="5"/>
    </row>
    <row r="53" spans="1:8" ht="15.75">
      <c r="A53" s="177"/>
      <c r="B53" s="177"/>
      <c r="C53" s="177"/>
      <c r="D53" s="201"/>
      <c r="E53" s="201"/>
      <c r="F53" s="201"/>
      <c r="G53" s="609"/>
      <c r="H53" s="629"/>
    </row>
    <row r="54" spans="1:8">
      <c r="A54" s="177"/>
      <c r="B54" s="177"/>
      <c r="C54" s="177"/>
      <c r="D54" s="177"/>
      <c r="E54" s="177"/>
      <c r="F54" s="201"/>
      <c r="G54" s="5"/>
    </row>
    <row r="55" spans="1:8">
      <c r="A55" s="177"/>
      <c r="B55" s="177"/>
      <c r="C55" s="177"/>
      <c r="D55" s="177"/>
      <c r="E55" s="177"/>
      <c r="F55" s="201"/>
      <c r="G55" s="5"/>
    </row>
    <row r="56" spans="1:8">
      <c r="A56" s="5"/>
      <c r="B56" s="5"/>
      <c r="C56" s="5"/>
      <c r="D56" s="5"/>
      <c r="E56" s="5"/>
      <c r="F56" s="5"/>
      <c r="G56" s="441"/>
      <c r="H56" s="196"/>
    </row>
    <row r="57" spans="1:8">
      <c r="A57" s="5"/>
      <c r="B57" s="5"/>
      <c r="C57" s="5"/>
      <c r="D57" s="5"/>
      <c r="E57" s="5"/>
      <c r="F57" s="441"/>
      <c r="G57" s="5"/>
    </row>
    <row r="58" spans="1:8">
      <c r="A58" s="5"/>
      <c r="B58" s="5"/>
      <c r="C58" s="5"/>
      <c r="D58" s="5"/>
      <c r="E58" s="5"/>
      <c r="F58" s="5"/>
      <c r="G58" s="5"/>
    </row>
    <row r="59" spans="1:8">
      <c r="A59" s="5"/>
      <c r="B59" s="5"/>
      <c r="C59" s="5"/>
      <c r="D59" s="5"/>
      <c r="E59" s="5"/>
      <c r="F59" s="5"/>
      <c r="G59" s="5"/>
    </row>
    <row r="60" spans="1:8">
      <c r="A60" s="5"/>
      <c r="B60" s="5"/>
      <c r="C60" s="5"/>
      <c r="D60" s="5"/>
      <c r="E60" s="5"/>
      <c r="F60" s="5"/>
      <c r="G60" s="5"/>
    </row>
    <row r="61" spans="1:8">
      <c r="A61" s="5"/>
      <c r="B61" s="5"/>
      <c r="C61" s="5"/>
      <c r="D61" s="5"/>
      <c r="E61" s="5"/>
      <c r="F61" s="5"/>
      <c r="G61" s="5"/>
    </row>
    <row r="62" spans="1:8">
      <c r="A62" s="5"/>
      <c r="B62" s="5"/>
      <c r="C62" s="5"/>
      <c r="D62" s="5"/>
      <c r="E62" s="5"/>
      <c r="F62" s="5"/>
      <c r="G62" s="5"/>
    </row>
    <row r="63" spans="1:8">
      <c r="A63" s="5"/>
      <c r="B63" s="5"/>
      <c r="C63" s="5"/>
      <c r="D63" s="5"/>
      <c r="E63" s="5"/>
      <c r="F63" s="5"/>
      <c r="G63" s="5"/>
    </row>
    <row r="64" spans="1:8">
      <c r="A64" s="5"/>
      <c r="B64" s="5"/>
      <c r="C64" s="5"/>
      <c r="D64" s="5"/>
      <c r="E64" s="5"/>
      <c r="F64" s="5"/>
      <c r="G64" s="5"/>
    </row>
    <row r="65" spans="1:7">
      <c r="A65" s="5"/>
      <c r="B65" s="5"/>
      <c r="C65" s="5"/>
      <c r="D65" s="5"/>
      <c r="E65" s="5"/>
      <c r="F65" s="5"/>
      <c r="G65" s="5"/>
    </row>
    <row r="66" spans="1:7">
      <c r="A66" s="5"/>
      <c r="B66" s="5"/>
      <c r="C66" s="5"/>
      <c r="D66" s="5"/>
      <c r="E66" s="5"/>
      <c r="F66" s="5"/>
      <c r="G66" s="5"/>
    </row>
    <row r="67" spans="1:7">
      <c r="A67" s="5"/>
      <c r="B67" s="5"/>
      <c r="C67" s="5"/>
      <c r="D67" s="5"/>
      <c r="E67" s="5"/>
      <c r="F67" s="5"/>
      <c r="G67" s="5"/>
    </row>
    <row r="68" spans="1:7">
      <c r="A68" s="5"/>
      <c r="B68" s="5"/>
      <c r="C68" s="5"/>
      <c r="D68" s="5"/>
      <c r="E68" s="5"/>
      <c r="F68" s="5"/>
      <c r="G68" s="5"/>
    </row>
    <row r="69" spans="1:7">
      <c r="A69" s="5"/>
      <c r="B69" s="5"/>
      <c r="C69" s="5"/>
      <c r="D69" s="5"/>
      <c r="E69" s="5"/>
      <c r="F69" s="5"/>
      <c r="G69" s="5"/>
    </row>
    <row r="70" spans="1:7">
      <c r="A70" s="5"/>
      <c r="B70" s="5"/>
      <c r="C70" s="5"/>
      <c r="D70" s="5"/>
      <c r="E70" s="5"/>
      <c r="F70" s="5"/>
      <c r="G70" s="5"/>
    </row>
    <row r="71" spans="1:7">
      <c r="A71" s="5"/>
      <c r="B71" s="5"/>
      <c r="C71" s="5"/>
      <c r="D71" s="5"/>
      <c r="E71" s="5"/>
      <c r="F71" s="5"/>
      <c r="G71" s="5"/>
    </row>
    <row r="72" spans="1:7">
      <c r="A72" s="5"/>
      <c r="B72" s="5"/>
      <c r="C72" s="5"/>
      <c r="D72" s="5"/>
      <c r="E72" s="5"/>
      <c r="F72" s="5"/>
      <c r="G72" s="5"/>
    </row>
  </sheetData>
  <mergeCells count="1">
    <mergeCell ref="A2:D2"/>
  </mergeCells>
  <phoneticPr fontId="5" type="noConversion"/>
  <pageMargins left="0" right="0" top="0.5" bottom="0.5" header="0" footer="0"/>
  <pageSetup scale="76" orientation="landscape" verticalDpi="0"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WhiteSpace="0" zoomScaleNormal="100" workbookViewId="0">
      <selection activeCell="H13" sqref="H13"/>
    </sheetView>
  </sheetViews>
  <sheetFormatPr defaultRowHeight="12.75"/>
  <cols>
    <col min="1" max="1" width="2.140625" style="149" customWidth="1"/>
    <col min="2" max="2" width="44.42578125" customWidth="1"/>
    <col min="3" max="3" width="9" customWidth="1"/>
    <col min="4" max="4" width="8.85546875" customWidth="1"/>
    <col min="5" max="5" width="9" style="136" customWidth="1"/>
    <col min="6" max="6" width="12.140625" style="136" customWidth="1"/>
    <col min="7" max="7" width="10" style="136" customWidth="1"/>
    <col min="8" max="8" width="19.85546875" style="149" customWidth="1"/>
    <col min="9" max="9" width="9.5703125" style="149" customWidth="1"/>
    <col min="10" max="10" width="12.28515625" style="149" customWidth="1"/>
    <col min="11" max="11" width="6.28515625" style="149" customWidth="1"/>
    <col min="12" max="12" width="9.85546875" style="149" customWidth="1"/>
    <col min="13" max="13" width="12" style="149" customWidth="1"/>
    <col min="14" max="14" width="10.140625" style="149" customWidth="1"/>
    <col min="15" max="15" width="10.140625" style="149" bestFit="1" customWidth="1"/>
    <col min="16" max="16384" width="9.140625" style="149"/>
  </cols>
  <sheetData>
    <row r="1" spans="1:20" ht="36" customHeight="1">
      <c r="A1" s="395"/>
      <c r="B1" s="3033" t="s">
        <v>423</v>
      </c>
      <c r="C1" s="3033"/>
      <c r="D1" s="3033"/>
      <c r="E1" s="3033"/>
      <c r="F1" s="3033"/>
      <c r="G1" s="826"/>
      <c r="L1" s="247"/>
      <c r="M1" s="209"/>
      <c r="P1" s="209"/>
    </row>
    <row r="2" spans="1:20" ht="16.5" thickBot="1">
      <c r="A2" s="163"/>
      <c r="B2" s="936"/>
      <c r="C2" s="3034" t="s">
        <v>523</v>
      </c>
      <c r="D2" s="3034"/>
      <c r="E2" s="3034"/>
      <c r="F2" s="3034"/>
      <c r="G2" s="828"/>
    </row>
    <row r="3" spans="1:20" ht="51.75" customHeight="1" thickBot="1">
      <c r="A3" s="163"/>
      <c r="B3" s="991" t="s">
        <v>304</v>
      </c>
      <c r="C3" s="691" t="s">
        <v>126</v>
      </c>
      <c r="D3" s="245" t="s">
        <v>434</v>
      </c>
      <c r="E3" s="937" t="s">
        <v>515</v>
      </c>
      <c r="F3" s="458" t="s">
        <v>516</v>
      </c>
      <c r="G3" s="149"/>
    </row>
    <row r="4" spans="1:20" ht="16.5" customHeight="1" thickBot="1">
      <c r="A4" s="396"/>
      <c r="B4" s="992" t="s">
        <v>313</v>
      </c>
      <c r="C4" s="688"/>
      <c r="D4" s="977">
        <v>69560</v>
      </c>
      <c r="E4" s="976">
        <v>54956</v>
      </c>
      <c r="F4" s="574">
        <v>51785862</v>
      </c>
      <c r="G4" s="832"/>
      <c r="H4" s="609">
        <f>F7+F6+F5</f>
        <v>55498469</v>
      </c>
      <c r="I4" s="207"/>
      <c r="J4" s="247"/>
      <c r="K4" s="298"/>
      <c r="L4" s="247"/>
      <c r="M4" s="247"/>
      <c r="N4" s="247"/>
      <c r="O4" s="247"/>
      <c r="P4" s="247"/>
      <c r="Q4" s="247"/>
      <c r="R4" s="247"/>
      <c r="S4" s="247"/>
      <c r="T4" s="247"/>
    </row>
    <row r="5" spans="1:20" ht="22.5" customHeight="1" thickBot="1">
      <c r="A5" s="396"/>
      <c r="B5" s="993" t="s">
        <v>314</v>
      </c>
      <c r="C5" s="987">
        <v>600</v>
      </c>
      <c r="D5" s="982">
        <v>41700</v>
      </c>
      <c r="E5" s="982">
        <v>35074</v>
      </c>
      <c r="F5" s="983">
        <f>28891077+2494670+33966+309228+351152</f>
        <v>32080093</v>
      </c>
      <c r="G5" s="833"/>
      <c r="H5" s="609"/>
      <c r="I5" s="207"/>
      <c r="J5" s="247"/>
      <c r="K5" s="209"/>
      <c r="L5" s="247"/>
      <c r="M5" s="247"/>
      <c r="N5" s="247"/>
      <c r="O5" s="298"/>
      <c r="P5" s="247"/>
      <c r="Q5" s="247"/>
      <c r="R5" s="247"/>
      <c r="S5" s="247"/>
      <c r="T5" s="247"/>
    </row>
    <row r="6" spans="1:20" ht="21.75" customHeight="1" thickBot="1">
      <c r="A6" s="396"/>
      <c r="B6" s="994" t="s">
        <v>328</v>
      </c>
      <c r="C6" s="988">
        <v>601</v>
      </c>
      <c r="D6" s="984">
        <v>6660</v>
      </c>
      <c r="E6" s="984">
        <v>5550</v>
      </c>
      <c r="F6" s="985">
        <f>4703936+523591</f>
        <v>5227527</v>
      </c>
      <c r="G6" s="955"/>
      <c r="H6" s="950"/>
      <c r="I6" s="951"/>
      <c r="J6" s="286"/>
      <c r="K6" s="298"/>
      <c r="L6" s="298"/>
      <c r="M6" s="786"/>
      <c r="N6" s="247"/>
      <c r="O6" s="247"/>
      <c r="P6" s="247"/>
      <c r="Q6" s="247"/>
      <c r="R6" s="247"/>
      <c r="S6" s="247"/>
      <c r="T6" s="247"/>
    </row>
    <row r="7" spans="1:20" ht="24" customHeight="1" thickBot="1">
      <c r="A7" s="396"/>
      <c r="B7" s="995" t="s">
        <v>511</v>
      </c>
      <c r="C7" s="989">
        <v>602</v>
      </c>
      <c r="D7" s="938">
        <v>21200</v>
      </c>
      <c r="E7" s="938">
        <v>19200</v>
      </c>
      <c r="F7" s="986">
        <v>18190849</v>
      </c>
      <c r="G7" s="948"/>
      <c r="H7" s="957"/>
      <c r="I7" s="951"/>
      <c r="J7" s="793">
        <v>18976575</v>
      </c>
      <c r="K7" s="247"/>
      <c r="L7" s="247"/>
      <c r="M7" s="247"/>
      <c r="N7" s="247"/>
      <c r="O7" s="247"/>
      <c r="P7" s="247"/>
      <c r="Q7" s="247"/>
      <c r="R7" s="247"/>
      <c r="S7" s="247"/>
      <c r="T7" s="247"/>
    </row>
    <row r="8" spans="1:20" ht="24" customHeight="1" thickBot="1">
      <c r="A8" s="396"/>
      <c r="B8" s="3035" t="s">
        <v>524</v>
      </c>
      <c r="C8" s="3036"/>
      <c r="D8" s="3036"/>
      <c r="E8" s="3036"/>
      <c r="F8" s="3037"/>
      <c r="G8" s="948"/>
      <c r="H8" s="957"/>
      <c r="I8" s="951"/>
      <c r="J8" s="793"/>
      <c r="K8" s="247"/>
      <c r="L8" s="247"/>
      <c r="M8" s="247"/>
      <c r="N8" s="247"/>
      <c r="O8" s="247"/>
      <c r="P8" s="247"/>
      <c r="Q8" s="247"/>
      <c r="R8" s="247"/>
      <c r="S8" s="247"/>
      <c r="T8" s="247"/>
    </row>
    <row r="9" spans="1:20" ht="13.5" thickBot="1">
      <c r="A9" s="396"/>
      <c r="B9" s="996" t="s">
        <v>331</v>
      </c>
      <c r="C9" s="990">
        <v>6020</v>
      </c>
      <c r="D9" s="939">
        <v>21200</v>
      </c>
      <c r="E9" s="939">
        <v>19200</v>
      </c>
      <c r="F9" s="476">
        <v>1488120</v>
      </c>
      <c r="G9" s="958"/>
      <c r="H9" s="959"/>
      <c r="I9" s="956"/>
      <c r="J9" s="806"/>
      <c r="K9" s="319"/>
      <c r="L9" s="682"/>
      <c r="M9" s="319"/>
      <c r="N9" s="298"/>
      <c r="O9" s="298"/>
      <c r="P9" s="247"/>
      <c r="Q9" s="247"/>
      <c r="R9" s="319"/>
      <c r="S9" s="319"/>
      <c r="T9" s="319"/>
    </row>
    <row r="10" spans="1:20">
      <c r="A10" s="383"/>
      <c r="B10" s="997" t="s">
        <v>172</v>
      </c>
      <c r="C10" s="336" t="s">
        <v>11</v>
      </c>
      <c r="D10" s="1007">
        <v>400000</v>
      </c>
      <c r="E10" s="469"/>
      <c r="F10" s="469">
        <v>393500</v>
      </c>
      <c r="G10" s="960"/>
      <c r="H10" s="961"/>
      <c r="I10" s="951"/>
      <c r="J10" s="799">
        <f>J7-F7</f>
        <v>785726</v>
      </c>
      <c r="O10" s="298"/>
      <c r="P10" s="247"/>
      <c r="Q10" s="247"/>
    </row>
    <row r="11" spans="1:20">
      <c r="A11" s="396"/>
      <c r="B11" s="998" t="s">
        <v>332</v>
      </c>
      <c r="C11" s="361">
        <v>602.02</v>
      </c>
      <c r="D11" s="357">
        <v>170000</v>
      </c>
      <c r="E11" s="473"/>
      <c r="F11" s="473">
        <v>169440</v>
      </c>
      <c r="G11" s="962"/>
      <c r="H11" s="961"/>
      <c r="I11" s="952"/>
      <c r="J11" s="947"/>
      <c r="L11" s="682"/>
      <c r="O11" s="298"/>
      <c r="P11" s="247"/>
      <c r="Q11" s="247"/>
    </row>
    <row r="12" spans="1:20">
      <c r="A12" s="396"/>
      <c r="B12" s="999" t="s">
        <v>520</v>
      </c>
      <c r="C12" s="342">
        <v>602.03</v>
      </c>
      <c r="D12" s="343">
        <v>400000</v>
      </c>
      <c r="E12" s="470"/>
      <c r="F12" s="470">
        <v>357000</v>
      </c>
      <c r="G12" s="962"/>
      <c r="H12" s="961"/>
      <c r="I12" s="961"/>
      <c r="J12" s="800"/>
    </row>
    <row r="13" spans="1:20">
      <c r="A13" s="163"/>
      <c r="B13" s="999" t="s">
        <v>519</v>
      </c>
      <c r="C13" s="342">
        <v>602.04999999999995</v>
      </c>
      <c r="D13" s="343">
        <v>400000</v>
      </c>
      <c r="E13" s="470"/>
      <c r="F13" s="470">
        <v>390100</v>
      </c>
      <c r="G13" s="962"/>
      <c r="H13" s="954"/>
      <c r="I13" s="961"/>
      <c r="J13" s="800"/>
    </row>
    <row r="14" spans="1:20" ht="13.5" thickBot="1">
      <c r="A14" s="163"/>
      <c r="B14" s="1000" t="s">
        <v>498</v>
      </c>
      <c r="C14" s="348">
        <v>602.09</v>
      </c>
      <c r="D14" s="349"/>
      <c r="E14" s="471"/>
      <c r="F14" s="471">
        <v>178080</v>
      </c>
      <c r="G14" s="962"/>
      <c r="H14" s="952"/>
      <c r="I14" s="961"/>
      <c r="J14" s="800"/>
    </row>
    <row r="15" spans="1:20" ht="13.5" thickBot="1">
      <c r="A15" s="163"/>
      <c r="B15" s="996" t="s">
        <v>518</v>
      </c>
      <c r="C15" s="324">
        <v>602.1</v>
      </c>
      <c r="D15" s="351"/>
      <c r="E15" s="472">
        <v>0</v>
      </c>
      <c r="F15" s="472">
        <v>783369</v>
      </c>
      <c r="G15" s="963"/>
      <c r="H15" s="961"/>
      <c r="I15" s="951"/>
      <c r="J15" s="800"/>
      <c r="L15" s="682"/>
    </row>
    <row r="16" spans="1:20">
      <c r="A16" s="163"/>
      <c r="B16" s="1001" t="s">
        <v>469</v>
      </c>
      <c r="C16" s="700">
        <v>602.10069999999996</v>
      </c>
      <c r="D16" s="343">
        <v>400000</v>
      </c>
      <c r="E16" s="470"/>
      <c r="F16" s="470">
        <v>395000</v>
      </c>
      <c r="G16" s="962"/>
      <c r="H16" s="961"/>
      <c r="I16" s="961"/>
      <c r="J16" s="800"/>
    </row>
    <row r="17" spans="1:12">
      <c r="A17" s="163"/>
      <c r="B17" s="1001" t="s">
        <v>490</v>
      </c>
      <c r="C17" s="700">
        <v>602.10109999999997</v>
      </c>
      <c r="D17" s="344">
        <v>250000</v>
      </c>
      <c r="E17" s="474"/>
      <c r="F17" s="474">
        <v>244776</v>
      </c>
      <c r="G17" s="965"/>
      <c r="H17" s="961"/>
      <c r="I17" s="961"/>
      <c r="J17" s="802"/>
    </row>
    <row r="18" spans="1:12" ht="13.5" thickBot="1">
      <c r="A18" s="163"/>
      <c r="B18" s="1002" t="s">
        <v>468</v>
      </c>
      <c r="C18" s="701">
        <v>602.10990000000004</v>
      </c>
      <c r="D18" s="378">
        <v>150000</v>
      </c>
      <c r="E18" s="475"/>
      <c r="F18" s="475">
        <v>143593</v>
      </c>
      <c r="G18" s="965"/>
      <c r="H18" s="964"/>
      <c r="I18" s="961"/>
      <c r="J18" s="802"/>
    </row>
    <row r="19" spans="1:12" ht="13.5" thickBot="1">
      <c r="A19" s="163"/>
      <c r="B19" s="996" t="s">
        <v>517</v>
      </c>
      <c r="C19" s="324">
        <v>602.20000000000005</v>
      </c>
      <c r="D19" s="351"/>
      <c r="E19" s="722">
        <v>0</v>
      </c>
      <c r="F19" s="722">
        <v>2574064</v>
      </c>
      <c r="G19" s="966"/>
      <c r="H19" s="961"/>
      <c r="I19" s="961"/>
      <c r="J19" s="802"/>
      <c r="L19" s="682"/>
    </row>
    <row r="20" spans="1:12">
      <c r="A20" s="163"/>
      <c r="B20" s="998" t="s">
        <v>192</v>
      </c>
      <c r="C20" s="361">
        <v>602.20010000000002</v>
      </c>
      <c r="D20" s="362"/>
      <c r="E20" s="755"/>
      <c r="F20" s="755">
        <v>839908</v>
      </c>
      <c r="G20" s="958"/>
      <c r="H20" s="964"/>
      <c r="I20" s="964"/>
      <c r="J20" s="799"/>
    </row>
    <row r="21" spans="1:12">
      <c r="A21" s="163"/>
      <c r="B21" s="999" t="s">
        <v>350</v>
      </c>
      <c r="C21" s="342">
        <v>602.20029999999997</v>
      </c>
      <c r="D21" s="344"/>
      <c r="E21" s="478">
        <v>0</v>
      </c>
      <c r="F21" s="478">
        <v>480113</v>
      </c>
      <c r="G21" s="967"/>
      <c r="H21" s="961"/>
      <c r="I21" s="961"/>
      <c r="J21" s="802"/>
      <c r="L21" s="682"/>
    </row>
    <row r="22" spans="1:12">
      <c r="A22" s="163"/>
      <c r="B22" s="1003" t="s">
        <v>473</v>
      </c>
      <c r="C22" s="906"/>
      <c r="D22" s="344"/>
      <c r="E22" s="764"/>
      <c r="F22" s="908">
        <v>377713</v>
      </c>
      <c r="G22" s="967">
        <v>17600</v>
      </c>
      <c r="H22" s="964"/>
      <c r="I22" s="964">
        <f>F22+G22</f>
        <v>395313</v>
      </c>
      <c r="J22" s="804"/>
    </row>
    <row r="23" spans="1:12">
      <c r="A23" s="163"/>
      <c r="B23" s="1004" t="s">
        <v>474</v>
      </c>
      <c r="C23" s="907"/>
      <c r="D23" s="344">
        <v>300000</v>
      </c>
      <c r="E23" s="765"/>
      <c r="F23" s="909">
        <v>120000</v>
      </c>
      <c r="G23" s="968"/>
      <c r="H23" s="961"/>
      <c r="I23" s="968"/>
      <c r="J23" s="750"/>
    </row>
    <row r="24" spans="1:12">
      <c r="A24" s="163"/>
      <c r="B24" s="999" t="s">
        <v>351</v>
      </c>
      <c r="C24" s="342">
        <v>602.20039999999995</v>
      </c>
      <c r="D24" s="344">
        <v>460000</v>
      </c>
      <c r="E24" s="754"/>
      <c r="F24" s="754">
        <v>289260</v>
      </c>
      <c r="G24" s="969">
        <v>28440</v>
      </c>
      <c r="H24" s="964"/>
      <c r="I24" s="964">
        <f>F24+G24</f>
        <v>317700</v>
      </c>
      <c r="J24" s="751"/>
      <c r="L24" s="682"/>
    </row>
    <row r="25" spans="1:12">
      <c r="A25" s="163"/>
      <c r="B25" s="999" t="s">
        <v>354</v>
      </c>
      <c r="C25" s="342">
        <v>602.20069999999998</v>
      </c>
      <c r="D25" s="344"/>
      <c r="E25" s="783"/>
      <c r="F25" s="783">
        <v>250</v>
      </c>
      <c r="G25" s="965"/>
      <c r="H25" s="971"/>
      <c r="I25" s="971"/>
      <c r="J25" s="802"/>
    </row>
    <row r="26" spans="1:12">
      <c r="A26" s="163"/>
      <c r="B26" s="999" t="s">
        <v>355</v>
      </c>
      <c r="C26" s="342">
        <v>602.20079999999996</v>
      </c>
      <c r="D26" s="344">
        <v>1300000</v>
      </c>
      <c r="E26" s="474"/>
      <c r="F26" s="474">
        <v>857544</v>
      </c>
      <c r="G26" s="965">
        <v>142386</v>
      </c>
      <c r="H26" s="964"/>
      <c r="I26" s="964">
        <f>F26+G26</f>
        <v>999930</v>
      </c>
      <c r="J26" s="802"/>
      <c r="L26" s="682"/>
    </row>
    <row r="27" spans="1:12">
      <c r="A27" s="163"/>
      <c r="B27" s="999" t="s">
        <v>357</v>
      </c>
      <c r="C27" s="342">
        <v>602.20100000000002</v>
      </c>
      <c r="D27" s="344"/>
      <c r="E27" s="474"/>
      <c r="F27" s="474">
        <v>33747</v>
      </c>
      <c r="G27" s="965"/>
      <c r="H27" s="971"/>
      <c r="I27" s="971"/>
      <c r="J27" s="802"/>
    </row>
    <row r="28" spans="1:12">
      <c r="A28" s="163"/>
      <c r="B28" s="999" t="s">
        <v>204</v>
      </c>
      <c r="C28" s="342">
        <v>602.20110000000102</v>
      </c>
      <c r="D28" s="344"/>
      <c r="E28" s="474"/>
      <c r="F28" s="474">
        <v>68400</v>
      </c>
      <c r="G28" s="965"/>
      <c r="H28" s="971"/>
      <c r="I28" s="971"/>
      <c r="J28" s="802"/>
    </row>
    <row r="29" spans="1:12" ht="13.5" thickBot="1">
      <c r="A29" s="163"/>
      <c r="B29" s="1000" t="s">
        <v>496</v>
      </c>
      <c r="C29" s="348">
        <v>602.20989999999995</v>
      </c>
      <c r="D29" s="350"/>
      <c r="E29" s="475"/>
      <c r="F29" s="475">
        <v>175668</v>
      </c>
      <c r="G29" s="965"/>
      <c r="H29" s="971"/>
      <c r="I29" s="971"/>
      <c r="J29" s="802"/>
    </row>
    <row r="30" spans="1:12" ht="13.5" thickBot="1">
      <c r="A30" s="163"/>
      <c r="B30" s="996" t="s">
        <v>206</v>
      </c>
      <c r="C30" s="324">
        <v>6023</v>
      </c>
      <c r="D30" s="351">
        <v>0</v>
      </c>
      <c r="E30" s="476">
        <v>0</v>
      </c>
      <c r="F30" s="476">
        <v>1382570</v>
      </c>
      <c r="G30" s="958"/>
      <c r="H30" s="971"/>
      <c r="I30" s="971"/>
      <c r="J30" s="802"/>
      <c r="L30" s="682"/>
    </row>
    <row r="31" spans="1:12">
      <c r="A31" s="163"/>
      <c r="B31" s="998" t="s">
        <v>207</v>
      </c>
      <c r="C31" s="361">
        <v>602.30999999999995</v>
      </c>
      <c r="D31" s="362">
        <v>3250000</v>
      </c>
      <c r="E31" s="477"/>
      <c r="F31" s="477">
        <v>966930</v>
      </c>
      <c r="G31" s="958"/>
      <c r="H31" s="971"/>
      <c r="I31" s="971"/>
      <c r="J31" s="799"/>
    </row>
    <row r="32" spans="1:12">
      <c r="A32" s="163"/>
      <c r="B32" s="999" t="s">
        <v>359</v>
      </c>
      <c r="C32" s="342">
        <v>602.32000000000005</v>
      </c>
      <c r="D32" s="344">
        <v>800000</v>
      </c>
      <c r="E32" s="474"/>
      <c r="F32" s="474">
        <v>403640</v>
      </c>
      <c r="G32" s="967"/>
      <c r="H32" s="971"/>
      <c r="I32" s="971"/>
      <c r="J32" s="802"/>
      <c r="L32" s="682"/>
    </row>
    <row r="33" spans="1:11" ht="13.5" thickBot="1">
      <c r="A33" s="163"/>
      <c r="B33" s="999" t="s">
        <v>360</v>
      </c>
      <c r="C33" s="342">
        <v>602.33000000000004</v>
      </c>
      <c r="D33" s="344"/>
      <c r="E33" s="474"/>
      <c r="F33" s="474">
        <v>12000</v>
      </c>
      <c r="G33" s="965"/>
      <c r="H33" s="971"/>
      <c r="I33" s="961"/>
      <c r="J33" s="802"/>
    </row>
    <row r="34" spans="1:11" ht="13.5" thickBot="1">
      <c r="A34" s="163"/>
      <c r="B34" s="996" t="s">
        <v>362</v>
      </c>
      <c r="C34" s="324">
        <v>602.4</v>
      </c>
      <c r="D34" s="351">
        <v>0</v>
      </c>
      <c r="E34" s="476">
        <v>0</v>
      </c>
      <c r="F34" s="476">
        <v>2935070</v>
      </c>
      <c r="G34" s="958">
        <v>417300</v>
      </c>
      <c r="H34" s="971"/>
      <c r="I34" s="964">
        <f>F34+G34</f>
        <v>3352370</v>
      </c>
      <c r="J34" s="802"/>
    </row>
    <row r="35" spans="1:11" ht="13.5" thickBot="1">
      <c r="A35" s="163"/>
      <c r="B35" s="996" t="s">
        <v>365</v>
      </c>
      <c r="C35" s="324">
        <v>602.5</v>
      </c>
      <c r="D35" s="351"/>
      <c r="E35" s="472">
        <v>0</v>
      </c>
      <c r="F35" s="472">
        <v>729040</v>
      </c>
      <c r="G35" s="973"/>
      <c r="H35" s="952"/>
      <c r="I35" s="974"/>
      <c r="J35" s="802"/>
    </row>
    <row r="36" spans="1:11">
      <c r="A36" s="163"/>
      <c r="B36" s="999" t="s">
        <v>497</v>
      </c>
      <c r="C36" s="342">
        <v>602.52</v>
      </c>
      <c r="D36" s="365">
        <v>400000</v>
      </c>
      <c r="E36" s="482"/>
      <c r="F36" s="482">
        <v>396320</v>
      </c>
      <c r="G36" s="963"/>
      <c r="H36" s="961"/>
      <c r="I36" s="961"/>
      <c r="J36" s="801"/>
    </row>
    <row r="37" spans="1:11" ht="13.5" thickBot="1">
      <c r="A37" s="163"/>
      <c r="B37" s="1000" t="s">
        <v>522</v>
      </c>
      <c r="C37" s="348">
        <v>602.58000000000004</v>
      </c>
      <c r="D37" s="374">
        <v>400000</v>
      </c>
      <c r="E37" s="711"/>
      <c r="F37" s="711">
        <v>332720</v>
      </c>
      <c r="G37" s="963"/>
      <c r="H37" s="961"/>
      <c r="I37" s="961"/>
      <c r="J37" s="801"/>
    </row>
    <row r="38" spans="1:11" ht="13.5" thickBot="1">
      <c r="A38" s="163"/>
      <c r="B38" s="996" t="s">
        <v>373</v>
      </c>
      <c r="C38" s="324">
        <v>602.6</v>
      </c>
      <c r="D38" s="376">
        <v>0</v>
      </c>
      <c r="E38" s="485">
        <v>0</v>
      </c>
      <c r="F38" s="1006">
        <v>30000</v>
      </c>
      <c r="G38" s="967"/>
      <c r="H38" s="961"/>
      <c r="I38" s="961"/>
      <c r="J38" s="805"/>
    </row>
    <row r="39" spans="1:11">
      <c r="A39" s="163"/>
      <c r="B39" s="999" t="s">
        <v>383</v>
      </c>
      <c r="C39" s="342">
        <v>602.74</v>
      </c>
      <c r="D39" s="365"/>
      <c r="E39" s="781"/>
      <c r="F39" s="781">
        <f>2810000+159000</f>
        <v>2969000</v>
      </c>
      <c r="G39" s="963">
        <v>159000</v>
      </c>
      <c r="H39" s="964"/>
      <c r="I39" s="961"/>
      <c r="J39" s="801"/>
    </row>
    <row r="40" spans="1:11" ht="13.5" thickBot="1">
      <c r="A40" s="163"/>
      <c r="B40" s="999" t="s">
        <v>509</v>
      </c>
      <c r="C40" s="342">
        <v>602.75</v>
      </c>
      <c r="D40" s="365">
        <v>5520000</v>
      </c>
      <c r="E40" s="482"/>
      <c r="F40" s="781">
        <v>5519416</v>
      </c>
      <c r="G40" s="963"/>
      <c r="H40" s="964"/>
      <c r="I40" s="961"/>
      <c r="J40" s="801">
        <f>G45-J10</f>
        <v>0</v>
      </c>
    </row>
    <row r="41" spans="1:11" ht="13.5" thickBot="1">
      <c r="A41" s="163"/>
      <c r="B41" s="996" t="s">
        <v>521</v>
      </c>
      <c r="C41" s="324">
        <v>602.9</v>
      </c>
      <c r="D41" s="376">
        <v>0</v>
      </c>
      <c r="E41" s="485">
        <v>0</v>
      </c>
      <c r="F41" s="485">
        <v>377500</v>
      </c>
      <c r="G41" s="967">
        <v>21000</v>
      </c>
      <c r="H41" s="961"/>
      <c r="I41" s="964">
        <f>F41+G41</f>
        <v>398500</v>
      </c>
      <c r="J41" s="800"/>
    </row>
    <row r="42" spans="1:11" ht="21.75" customHeight="1">
      <c r="A42" s="163"/>
      <c r="B42" s="3038" t="s">
        <v>525</v>
      </c>
      <c r="C42" s="3039"/>
      <c r="D42" s="344">
        <v>6600000</v>
      </c>
      <c r="E42" s="474"/>
      <c r="F42" s="474"/>
      <c r="G42" s="965"/>
      <c r="H42" s="961"/>
      <c r="I42" s="961"/>
      <c r="J42" s="802"/>
    </row>
    <row r="43" spans="1:11">
      <c r="A43" s="163"/>
      <c r="B43" s="999"/>
      <c r="C43" s="342"/>
      <c r="D43" s="499"/>
      <c r="E43" s="474"/>
      <c r="F43" s="474"/>
      <c r="G43" s="965"/>
      <c r="H43" s="964"/>
      <c r="I43" s="961"/>
      <c r="J43" s="802"/>
    </row>
    <row r="44" spans="1:11" ht="15">
      <c r="A44" s="163"/>
      <c r="B44" s="379"/>
      <c r="C44" s="379"/>
      <c r="D44" s="380"/>
      <c r="E44" s="488"/>
      <c r="F44" s="488"/>
      <c r="G44" s="975"/>
      <c r="H44" s="961"/>
      <c r="I44" s="961"/>
      <c r="K44" s="380"/>
    </row>
    <row r="45" spans="1:11" ht="15">
      <c r="A45" s="163"/>
      <c r="B45" s="383" t="s">
        <v>514</v>
      </c>
      <c r="C45" s="383" t="s">
        <v>512</v>
      </c>
      <c r="D45" s="1005"/>
      <c r="E45" s="1005"/>
      <c r="F45" s="1005"/>
      <c r="G45" s="488">
        <f>SUM(G9:G44)</f>
        <v>785726</v>
      </c>
    </row>
    <row r="46" spans="1:11">
      <c r="A46" s="163"/>
      <c r="B46" s="704" t="s">
        <v>439</v>
      </c>
      <c r="C46" s="383"/>
      <c r="D46" s="209" t="s">
        <v>513</v>
      </c>
      <c r="E46" s="702"/>
      <c r="F46" s="489"/>
      <c r="G46" s="489"/>
    </row>
    <row r="47" spans="1:11">
      <c r="A47" s="163"/>
      <c r="B47" s="149"/>
      <c r="C47" s="149"/>
      <c r="D47" s="702"/>
      <c r="E47" s="489"/>
      <c r="F47" s="489"/>
      <c r="G47" s="149"/>
    </row>
  </sheetData>
  <mergeCells count="4">
    <mergeCell ref="B1:F1"/>
    <mergeCell ref="C2:F2"/>
    <mergeCell ref="B8:F8"/>
    <mergeCell ref="B42:C42"/>
  </mergeCells>
  <pageMargins left="0.3" right="0" top="0.3" bottom="0" header="0" footer="0"/>
  <pageSetup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0"/>
  <sheetViews>
    <sheetView showWhiteSpace="0" topLeftCell="A1325" zoomScaleNormal="100" workbookViewId="0">
      <selection activeCell="O1347" sqref="O1346:O1347"/>
    </sheetView>
  </sheetViews>
  <sheetFormatPr defaultRowHeight="12.75"/>
  <cols>
    <col min="1" max="1" width="2.140625" style="149" customWidth="1"/>
    <col min="2" max="2" width="3.85546875" customWidth="1"/>
    <col min="3" max="3" width="2.42578125" customWidth="1"/>
    <col min="4" max="4" width="2" customWidth="1"/>
    <col min="5" max="5" width="2.42578125" customWidth="1"/>
    <col min="6" max="6" width="4.28515625" customWidth="1"/>
    <col min="7" max="7" width="4.85546875" customWidth="1"/>
    <col min="8" max="8" width="4" customWidth="1"/>
    <col min="9" max="9" width="7.85546875" customWidth="1"/>
    <col min="10" max="10" width="41.28515625" customWidth="1"/>
    <col min="11" max="11" width="8.85546875" customWidth="1"/>
    <col min="12" max="12" width="10.140625" style="136" customWidth="1"/>
    <col min="13" max="13" width="10.42578125" style="136" customWidth="1"/>
    <col min="14" max="14" width="10" style="136" customWidth="1"/>
    <col min="15" max="15" width="12" style="149" customWidth="1"/>
    <col min="16" max="16" width="9.5703125" style="149" customWidth="1"/>
    <col min="17" max="17" width="12.28515625" style="149" customWidth="1"/>
    <col min="18" max="18" width="6.28515625" style="149" customWidth="1"/>
    <col min="19" max="19" width="9.85546875" style="149" customWidth="1"/>
    <col min="20" max="20" width="12" style="149" customWidth="1"/>
    <col min="21" max="21" width="10.140625" style="149" customWidth="1"/>
    <col min="22" max="22" width="10.140625" style="149" bestFit="1" customWidth="1"/>
    <col min="23" max="16384" width="9.140625" style="149"/>
  </cols>
  <sheetData>
    <row r="1" spans="1:23">
      <c r="A1" s="163"/>
      <c r="B1" s="163"/>
      <c r="C1" s="210"/>
      <c r="D1" s="210"/>
      <c r="E1" s="210"/>
      <c r="F1" s="210"/>
      <c r="G1" s="210"/>
      <c r="H1" s="211"/>
      <c r="I1" s="211"/>
      <c r="J1" s="211"/>
      <c r="K1" s="211"/>
      <c r="L1" s="212"/>
      <c r="M1" s="212"/>
      <c r="N1" s="212"/>
    </row>
    <row r="2" spans="1:23" ht="15.75" customHeight="1">
      <c r="A2" s="163"/>
      <c r="B2" s="163"/>
      <c r="C2" s="210"/>
      <c r="D2" s="210"/>
      <c r="E2" s="210"/>
      <c r="F2" s="210"/>
      <c r="G2" s="210"/>
      <c r="H2" s="210"/>
      <c r="I2" s="213"/>
      <c r="J2" s="681"/>
      <c r="K2" s="215"/>
      <c r="L2" s="210"/>
      <c r="M2" s="210"/>
      <c r="N2" s="210"/>
    </row>
    <row r="3" spans="1:23" s="220" customFormat="1" ht="13.5" customHeight="1">
      <c r="A3" s="394"/>
      <c r="B3" s="216"/>
      <c r="C3" s="217"/>
      <c r="D3" s="217"/>
      <c r="E3" s="218"/>
      <c r="F3" s="218"/>
      <c r="G3" s="218"/>
      <c r="H3" s="218"/>
      <c r="I3" s="218"/>
      <c r="J3" s="218"/>
      <c r="K3" s="217"/>
      <c r="L3" s="452"/>
      <c r="M3" s="452"/>
      <c r="N3" s="452"/>
      <c r="T3" s="149"/>
      <c r="W3" s="149"/>
    </row>
    <row r="4" spans="1:23" s="223" customFormat="1" ht="15">
      <c r="A4" s="395"/>
      <c r="B4" s="221"/>
      <c r="C4" s="218" t="s">
        <v>301</v>
      </c>
      <c r="D4" s="218"/>
      <c r="E4" s="218"/>
      <c r="F4" s="218"/>
      <c r="G4" s="218"/>
      <c r="H4" s="218"/>
      <c r="I4" s="218"/>
      <c r="K4" s="218"/>
      <c r="L4" s="453"/>
      <c r="M4" s="453"/>
      <c r="N4" s="453"/>
      <c r="P4" s="739"/>
      <c r="T4" s="811"/>
      <c r="W4" s="149"/>
    </row>
    <row r="5" spans="1:23" s="223" customFormat="1" ht="15">
      <c r="A5" s="395"/>
      <c r="B5" s="221"/>
      <c r="C5" s="218" t="s">
        <v>415</v>
      </c>
      <c r="D5" s="218"/>
      <c r="E5" s="218"/>
      <c r="G5" s="218"/>
      <c r="H5" s="218"/>
      <c r="I5" s="218"/>
      <c r="J5" s="218"/>
      <c r="K5" s="453"/>
      <c r="M5" s="453"/>
      <c r="N5" s="453"/>
      <c r="T5" s="811"/>
      <c r="U5" s="149"/>
      <c r="V5" s="149"/>
      <c r="W5" s="811"/>
    </row>
    <row r="6" spans="1:23" ht="13.5" customHeight="1">
      <c r="A6" s="163"/>
      <c r="B6" s="224"/>
      <c r="C6" s="224"/>
      <c r="E6" s="224"/>
      <c r="F6" s="224"/>
      <c r="G6" s="392" t="s">
        <v>416</v>
      </c>
      <c r="H6" s="224"/>
      <c r="I6" s="225"/>
      <c r="K6" s="224"/>
      <c r="L6" s="454"/>
      <c r="M6" s="454"/>
      <c r="N6" s="454"/>
      <c r="T6" s="811"/>
    </row>
    <row r="7" spans="1:23" ht="15" customHeight="1">
      <c r="A7" s="163"/>
      <c r="B7" s="163"/>
      <c r="C7" s="163"/>
      <c r="D7" s="163"/>
      <c r="E7" s="226"/>
      <c r="F7" s="226"/>
      <c r="G7" s="226"/>
      <c r="H7" s="214"/>
      <c r="I7" s="227"/>
      <c r="J7" s="228"/>
      <c r="K7" s="229"/>
      <c r="L7" s="455"/>
      <c r="M7" s="455"/>
      <c r="N7" s="455"/>
    </row>
    <row r="8" spans="1:23" ht="15" customHeight="1">
      <c r="A8" s="163"/>
      <c r="B8" s="5"/>
      <c r="C8" s="383" t="s">
        <v>300</v>
      </c>
      <c r="D8" s="226"/>
      <c r="E8" s="5"/>
      <c r="F8" s="163"/>
      <c r="G8" s="226"/>
      <c r="H8" s="214"/>
      <c r="I8" s="231"/>
      <c r="J8" s="232"/>
      <c r="K8" s="229" t="s">
        <v>413</v>
      </c>
      <c r="L8" s="455"/>
      <c r="M8" s="455"/>
      <c r="N8" s="455"/>
      <c r="T8" s="209"/>
      <c r="W8" s="209"/>
    </row>
    <row r="9" spans="1:23" ht="15" customHeight="1">
      <c r="A9" s="163"/>
      <c r="B9" s="5"/>
      <c r="C9" s="383"/>
      <c r="D9" s="226"/>
      <c r="E9" s="5"/>
      <c r="F9" s="163"/>
      <c r="G9" s="226"/>
      <c r="H9" s="214"/>
      <c r="I9" s="231"/>
      <c r="J9" s="232"/>
      <c r="K9" s="229"/>
      <c r="L9" s="455"/>
      <c r="M9" s="455"/>
      <c r="N9" s="455"/>
      <c r="S9" s="247"/>
      <c r="T9" s="209"/>
      <c r="W9" s="209"/>
    </row>
    <row r="10" spans="1:23" ht="15" customHeight="1">
      <c r="A10" s="163"/>
      <c r="B10" s="233"/>
      <c r="C10" s="233"/>
      <c r="D10" s="237"/>
      <c r="E10" s="233"/>
      <c r="F10" s="233"/>
      <c r="G10" s="234"/>
      <c r="H10" s="235"/>
      <c r="I10" s="233"/>
      <c r="J10" s="236" t="s">
        <v>423</v>
      </c>
      <c r="K10" s="238"/>
      <c r="L10" s="456"/>
      <c r="M10" s="456"/>
      <c r="N10" s="456"/>
    </row>
    <row r="11" spans="1:23" ht="18" customHeight="1" thickBot="1">
      <c r="A11" s="163"/>
      <c r="B11" s="239"/>
      <c r="C11" s="233"/>
      <c r="D11" s="233"/>
      <c r="E11" s="235"/>
      <c r="F11" s="235"/>
      <c r="G11" s="235"/>
      <c r="H11" s="235"/>
      <c r="I11" s="235"/>
      <c r="J11" s="686" t="s">
        <v>436</v>
      </c>
      <c r="K11" s="240"/>
      <c r="L11" s="457"/>
      <c r="N11" s="149"/>
    </row>
    <row r="12" spans="1:23" s="247" customFormat="1" ht="53.25" customHeight="1" thickBot="1">
      <c r="A12" s="396"/>
      <c r="B12" s="689" t="s">
        <v>137</v>
      </c>
      <c r="C12" s="690" t="s">
        <v>138</v>
      </c>
      <c r="D12" s="689" t="s">
        <v>139</v>
      </c>
      <c r="E12" s="689" t="s">
        <v>140</v>
      </c>
      <c r="F12" s="689" t="s">
        <v>141</v>
      </c>
      <c r="G12" s="689" t="s">
        <v>142</v>
      </c>
      <c r="H12" s="691" t="s">
        <v>126</v>
      </c>
      <c r="I12" s="689" t="s">
        <v>143</v>
      </c>
      <c r="J12" s="684" t="s">
        <v>304</v>
      </c>
      <c r="K12" s="245" t="s">
        <v>434</v>
      </c>
      <c r="L12" s="458" t="s">
        <v>292</v>
      </c>
      <c r="M12" s="685" t="s">
        <v>305</v>
      </c>
      <c r="N12" s="560"/>
      <c r="Q12" s="247">
        <v>606</v>
      </c>
      <c r="R12" s="247">
        <v>606</v>
      </c>
      <c r="T12" s="209" t="s">
        <v>88</v>
      </c>
    </row>
    <row r="13" spans="1:23" s="247" customFormat="1" ht="15" customHeight="1" thickBot="1">
      <c r="A13" s="396"/>
      <c r="B13" s="248" t="s">
        <v>148</v>
      </c>
      <c r="C13" s="249">
        <v>25</v>
      </c>
      <c r="D13" s="517" t="s">
        <v>267</v>
      </c>
      <c r="E13" s="250">
        <v>1</v>
      </c>
      <c r="F13" s="250">
        <v>1111</v>
      </c>
      <c r="G13" s="694">
        <v>10430</v>
      </c>
      <c r="H13" s="251"/>
      <c r="I13" s="252"/>
      <c r="J13" s="687" t="s">
        <v>308</v>
      </c>
      <c r="K13" s="254">
        <f>SUM(K14+K15+K16+K17)</f>
        <v>0</v>
      </c>
      <c r="L13" s="459">
        <f>SUM(L14+L15+L16+L17)</f>
        <v>0</v>
      </c>
      <c r="M13" s="459"/>
      <c r="N13" s="459"/>
      <c r="Q13" s="209"/>
      <c r="R13" s="209"/>
      <c r="T13" s="220"/>
    </row>
    <row r="14" spans="1:23" s="247" customFormat="1" ht="15" customHeight="1">
      <c r="A14" s="396"/>
      <c r="B14" s="255"/>
      <c r="C14" s="256"/>
      <c r="D14" s="256"/>
      <c r="E14" s="256">
        <v>1</v>
      </c>
      <c r="F14" s="256"/>
      <c r="G14" s="256"/>
      <c r="H14" s="257"/>
      <c r="I14" s="258"/>
      <c r="J14" s="259" t="s">
        <v>309</v>
      </c>
      <c r="K14" s="260"/>
      <c r="L14" s="460"/>
      <c r="M14" s="460"/>
      <c r="N14" s="730"/>
      <c r="O14" s="767"/>
      <c r="P14" s="436"/>
      <c r="Q14" s="768"/>
      <c r="R14" s="298"/>
    </row>
    <row r="15" spans="1:23" s="247" customFormat="1" ht="15" customHeight="1">
      <c r="A15" s="396"/>
      <c r="B15" s="262"/>
      <c r="C15" s="263"/>
      <c r="D15" s="263"/>
      <c r="E15" s="263">
        <v>5</v>
      </c>
      <c r="F15" s="263"/>
      <c r="G15" s="263"/>
      <c r="H15" s="264"/>
      <c r="I15" s="265"/>
      <c r="J15" s="266" t="s">
        <v>310</v>
      </c>
      <c r="K15" s="267"/>
      <c r="L15" s="461"/>
      <c r="M15" s="461"/>
      <c r="N15" s="561"/>
      <c r="O15" s="769"/>
      <c r="P15" s="181"/>
      <c r="Q15" s="770"/>
      <c r="U15" s="298"/>
      <c r="V15" s="298"/>
    </row>
    <row r="16" spans="1:23" s="247" customFormat="1" ht="15" customHeight="1">
      <c r="A16" s="396"/>
      <c r="B16" s="262"/>
      <c r="C16" s="263"/>
      <c r="D16" s="263"/>
      <c r="E16" s="263">
        <v>5</v>
      </c>
      <c r="F16" s="263"/>
      <c r="G16" s="263"/>
      <c r="H16" s="264"/>
      <c r="I16" s="265"/>
      <c r="J16" s="266" t="s">
        <v>311</v>
      </c>
      <c r="K16" s="267"/>
      <c r="L16" s="461"/>
      <c r="M16" s="461"/>
      <c r="N16" s="561"/>
      <c r="O16" s="769"/>
      <c r="P16" s="181"/>
      <c r="Q16" s="770"/>
      <c r="R16" s="298"/>
    </row>
    <row r="17" spans="1:23" s="247" customFormat="1" ht="15" customHeight="1" thickBot="1">
      <c r="A17" s="396"/>
      <c r="B17" s="269"/>
      <c r="C17" s="270"/>
      <c r="D17" s="270"/>
      <c r="E17" s="270">
        <v>6</v>
      </c>
      <c r="F17" s="270"/>
      <c r="G17" s="270"/>
      <c r="H17" s="271"/>
      <c r="I17" s="272"/>
      <c r="J17" s="273" t="s">
        <v>312</v>
      </c>
      <c r="K17" s="274"/>
      <c r="L17" s="462"/>
      <c r="M17" s="462"/>
      <c r="N17" s="561"/>
      <c r="O17" s="771"/>
      <c r="P17" s="186"/>
      <c r="Q17" s="772"/>
      <c r="R17" s="298"/>
    </row>
    <row r="18" spans="1:23" s="247" customFormat="1" ht="15" customHeight="1" thickBot="1">
      <c r="A18" s="396"/>
      <c r="B18" s="276"/>
      <c r="C18" s="277"/>
      <c r="D18" s="277"/>
      <c r="E18" s="277"/>
      <c r="F18" s="277"/>
      <c r="G18" s="277"/>
      <c r="H18" s="277"/>
      <c r="I18" s="278"/>
      <c r="J18" s="688" t="s">
        <v>313</v>
      </c>
      <c r="K18" s="740">
        <f>SUM(K19+K34+K37+K116+K117)</f>
        <v>76360</v>
      </c>
      <c r="L18" s="574">
        <f>SUM(L19+L34+L37+L116+L117)</f>
        <v>14803</v>
      </c>
      <c r="M18" s="574">
        <f>SUM(M19+M34+M37+M116+M117)</f>
        <v>7882702</v>
      </c>
      <c r="N18" s="731"/>
      <c r="O18" s="773"/>
      <c r="P18" s="774"/>
      <c r="Q18" s="775"/>
      <c r="R18" s="209"/>
      <c r="V18" s="298"/>
    </row>
    <row r="19" spans="1:23" s="209" customFormat="1" ht="14.25" customHeight="1" thickBot="1">
      <c r="A19" s="383"/>
      <c r="B19" s="280"/>
      <c r="C19" s="281"/>
      <c r="D19" s="281"/>
      <c r="E19" s="281"/>
      <c r="F19" s="281"/>
      <c r="G19" s="281"/>
      <c r="H19" s="693">
        <v>600</v>
      </c>
      <c r="I19" s="283"/>
      <c r="J19" s="284" t="s">
        <v>314</v>
      </c>
      <c r="K19" s="285">
        <f>SUM(K20+K21+K22+K23+K24+K25+K26+K27+K28+K29+K30+K31+K32+K33)</f>
        <v>41700</v>
      </c>
      <c r="L19" s="285">
        <f>L20+L30+L33</f>
        <v>5248</v>
      </c>
      <c r="M19" s="719">
        <f>M20+M30+M33</f>
        <v>3237187</v>
      </c>
      <c r="N19" s="285"/>
      <c r="O19" s="247"/>
      <c r="P19" s="298"/>
      <c r="Q19" s="247"/>
      <c r="S19" s="247"/>
      <c r="T19" s="247"/>
      <c r="U19" s="247"/>
      <c r="V19" s="247"/>
      <c r="W19" s="247"/>
    </row>
    <row r="20" spans="1:23" s="247" customFormat="1">
      <c r="A20" s="396"/>
      <c r="B20" s="287"/>
      <c r="C20" s="288"/>
      <c r="D20" s="288"/>
      <c r="E20" s="288"/>
      <c r="F20" s="288"/>
      <c r="G20" s="288"/>
      <c r="H20" s="289"/>
      <c r="I20" s="290">
        <v>600.1</v>
      </c>
      <c r="J20" s="696" t="s">
        <v>315</v>
      </c>
      <c r="K20" s="817">
        <v>41700</v>
      </c>
      <c r="L20" s="747">
        <v>5248</v>
      </c>
      <c r="M20" s="720">
        <f>SUM(M21:M25)</f>
        <v>3160811</v>
      </c>
      <c r="N20" s="757"/>
      <c r="R20" s="209"/>
      <c r="S20" s="286"/>
      <c r="T20" s="286"/>
      <c r="U20" s="286"/>
      <c r="V20" s="298"/>
      <c r="W20" s="209"/>
    </row>
    <row r="21" spans="1:23" s="247" customFormat="1">
      <c r="A21" s="396"/>
      <c r="B21" s="292"/>
      <c r="C21" s="293"/>
      <c r="D21" s="293"/>
      <c r="E21" s="293"/>
      <c r="F21" s="293"/>
      <c r="G21" s="293"/>
      <c r="H21" s="294"/>
      <c r="I21" s="295">
        <v>600.1001</v>
      </c>
      <c r="J21" s="697" t="s">
        <v>316</v>
      </c>
      <c r="K21" s="297"/>
      <c r="L21" s="782"/>
      <c r="M21" s="818">
        <v>794260</v>
      </c>
      <c r="N21" s="562"/>
      <c r="O21" s="812"/>
      <c r="R21" s="718"/>
      <c r="V21" s="298"/>
    </row>
    <row r="22" spans="1:23" s="247" customFormat="1">
      <c r="A22" s="396"/>
      <c r="B22" s="292"/>
      <c r="C22" s="293"/>
      <c r="D22" s="293"/>
      <c r="E22" s="293"/>
      <c r="F22" s="293"/>
      <c r="G22" s="293"/>
      <c r="H22" s="294"/>
      <c r="I22" s="295">
        <v>600.10019999999997</v>
      </c>
      <c r="J22" s="697" t="s">
        <v>317</v>
      </c>
      <c r="K22" s="297"/>
      <c r="L22" s="782"/>
      <c r="M22" s="818">
        <v>14978</v>
      </c>
      <c r="N22" s="562"/>
      <c r="O22" s="813"/>
      <c r="V22" s="298"/>
    </row>
    <row r="23" spans="1:23" s="247" customFormat="1">
      <c r="A23" s="396"/>
      <c r="B23" s="292"/>
      <c r="C23" s="293"/>
      <c r="D23" s="293"/>
      <c r="E23" s="293"/>
      <c r="F23" s="293"/>
      <c r="G23" s="293"/>
      <c r="H23" s="294"/>
      <c r="I23" s="295">
        <v>600.10029999999995</v>
      </c>
      <c r="J23" s="697" t="s">
        <v>318</v>
      </c>
      <c r="K23" s="297"/>
      <c r="L23" s="782"/>
      <c r="M23" s="818">
        <v>243458</v>
      </c>
      <c r="N23" s="562"/>
      <c r="O23" s="813"/>
      <c r="S23" s="718"/>
      <c r="T23" s="718"/>
    </row>
    <row r="24" spans="1:23" s="247" customFormat="1">
      <c r="A24" s="396"/>
      <c r="B24" s="292"/>
      <c r="C24" s="293"/>
      <c r="D24" s="293"/>
      <c r="E24" s="293"/>
      <c r="F24" s="293"/>
      <c r="G24" s="293"/>
      <c r="H24" s="294"/>
      <c r="I24" s="295">
        <v>600.10050000000001</v>
      </c>
      <c r="J24" s="697" t="s">
        <v>319</v>
      </c>
      <c r="K24" s="297"/>
      <c r="L24" s="782"/>
      <c r="M24" s="818">
        <v>2091050</v>
      </c>
      <c r="N24" s="562"/>
      <c r="O24" s="812"/>
      <c r="S24" s="718"/>
      <c r="T24" s="718"/>
    </row>
    <row r="25" spans="1:23" s="247" customFormat="1">
      <c r="A25" s="396"/>
      <c r="B25" s="292"/>
      <c r="C25" s="293"/>
      <c r="D25" s="293"/>
      <c r="E25" s="293"/>
      <c r="F25" s="293"/>
      <c r="G25" s="293"/>
      <c r="H25" s="294"/>
      <c r="I25" s="295"/>
      <c r="J25" s="697" t="s">
        <v>326</v>
      </c>
      <c r="K25" s="297"/>
      <c r="L25" s="766"/>
      <c r="M25" s="818">
        <v>17065</v>
      </c>
      <c r="N25" s="814"/>
      <c r="O25" s="812"/>
      <c r="S25" s="718"/>
      <c r="T25" s="718"/>
    </row>
    <row r="26" spans="1:23" s="247" customFormat="1">
      <c r="A26" s="396"/>
      <c r="B26" s="299"/>
      <c r="C26" s="293"/>
      <c r="D26" s="293"/>
      <c r="E26" s="293"/>
      <c r="F26" s="293"/>
      <c r="G26" s="293"/>
      <c r="H26" s="294"/>
      <c r="I26" s="295">
        <v>600.20000000000005</v>
      </c>
      <c r="J26" s="697" t="s">
        <v>320</v>
      </c>
      <c r="K26" s="297"/>
      <c r="L26" s="815"/>
      <c r="M26" s="464"/>
      <c r="N26" s="562"/>
      <c r="O26" s="809"/>
      <c r="S26" s="209"/>
      <c r="T26" s="209"/>
    </row>
    <row r="27" spans="1:23" s="247" customFormat="1">
      <c r="A27" s="396"/>
      <c r="B27" s="299"/>
      <c r="C27" s="293"/>
      <c r="D27" s="293"/>
      <c r="E27" s="293"/>
      <c r="F27" s="293"/>
      <c r="G27" s="293"/>
      <c r="H27" s="294"/>
      <c r="I27" s="295">
        <v>600.21</v>
      </c>
      <c r="J27" s="697" t="s">
        <v>321</v>
      </c>
      <c r="K27" s="297"/>
      <c r="L27" s="464"/>
      <c r="M27" s="464"/>
      <c r="N27" s="562"/>
      <c r="O27" s="209"/>
      <c r="P27" s="209"/>
      <c r="Q27" s="808"/>
      <c r="R27" s="209"/>
      <c r="V27" s="748"/>
    </row>
    <row r="28" spans="1:23" s="247" customFormat="1">
      <c r="A28" s="396"/>
      <c r="B28" s="299"/>
      <c r="C28" s="293"/>
      <c r="D28" s="293"/>
      <c r="E28" s="293"/>
      <c r="F28" s="293"/>
      <c r="G28" s="293"/>
      <c r="H28" s="294"/>
      <c r="I28" s="295">
        <v>600.22</v>
      </c>
      <c r="J28" s="697" t="s">
        <v>322</v>
      </c>
      <c r="K28" s="297"/>
      <c r="L28" s="464"/>
      <c r="M28" s="464"/>
      <c r="N28" s="562"/>
      <c r="O28" s="807"/>
      <c r="P28" s="748"/>
      <c r="Q28" s="752"/>
      <c r="R28" s="749"/>
      <c r="S28" s="748"/>
      <c r="V28" s="748"/>
      <c r="W28" s="209"/>
    </row>
    <row r="29" spans="1:23" s="247" customFormat="1">
      <c r="A29" s="396"/>
      <c r="B29" s="299"/>
      <c r="C29" s="293"/>
      <c r="D29" s="293"/>
      <c r="E29" s="293"/>
      <c r="F29" s="293"/>
      <c r="G29" s="293"/>
      <c r="H29" s="294"/>
      <c r="I29" s="295">
        <v>600.29</v>
      </c>
      <c r="J29" s="697" t="s">
        <v>323</v>
      </c>
      <c r="K29" s="297"/>
      <c r="L29" s="464"/>
      <c r="M29" s="464"/>
      <c r="N29" s="562"/>
      <c r="Q29" s="752"/>
      <c r="R29" s="749"/>
      <c r="T29" s="209"/>
    </row>
    <row r="30" spans="1:23" s="247" customFormat="1">
      <c r="A30" s="396"/>
      <c r="B30" s="299"/>
      <c r="C30" s="293"/>
      <c r="D30" s="293"/>
      <c r="E30" s="293"/>
      <c r="F30" s="293"/>
      <c r="G30" s="293"/>
      <c r="H30" s="294"/>
      <c r="I30" s="295">
        <v>600.29999999999995</v>
      </c>
      <c r="J30" s="697" t="s">
        <v>324</v>
      </c>
      <c r="K30" s="297"/>
      <c r="L30" s="464"/>
      <c r="M30" s="464">
        <v>49000</v>
      </c>
      <c r="N30" s="562"/>
      <c r="O30" s="749"/>
      <c r="P30" s="748"/>
      <c r="Q30" s="752"/>
      <c r="R30" s="749"/>
      <c r="T30" s="784"/>
      <c r="U30" s="209"/>
    </row>
    <row r="31" spans="1:23" s="247" customFormat="1">
      <c r="A31" s="396"/>
      <c r="B31" s="299"/>
      <c r="C31" s="293"/>
      <c r="D31" s="293"/>
      <c r="E31" s="293"/>
      <c r="F31" s="293"/>
      <c r="G31" s="293"/>
      <c r="H31" s="294"/>
      <c r="I31" s="295">
        <v>600.30999999999995</v>
      </c>
      <c r="J31" s="697" t="s">
        <v>325</v>
      </c>
      <c r="K31" s="297"/>
      <c r="L31" s="464"/>
      <c r="M31" s="464"/>
      <c r="N31" s="562"/>
      <c r="O31" s="749"/>
      <c r="P31" s="748"/>
      <c r="Q31" s="752"/>
      <c r="R31" s="749"/>
      <c r="T31" s="784"/>
      <c r="U31" s="209"/>
    </row>
    <row r="32" spans="1:23" s="247" customFormat="1">
      <c r="A32" s="396"/>
      <c r="B32" s="299"/>
      <c r="C32" s="293"/>
      <c r="D32" s="293"/>
      <c r="E32" s="293"/>
      <c r="F32" s="293"/>
      <c r="G32" s="293"/>
      <c r="H32" s="294"/>
      <c r="I32" s="295"/>
      <c r="J32" s="697" t="s">
        <v>323</v>
      </c>
      <c r="K32" s="297"/>
      <c r="L32" s="465"/>
      <c r="M32" s="465"/>
      <c r="N32" s="563"/>
      <c r="O32" s="749"/>
      <c r="P32" s="748"/>
      <c r="Q32" s="752"/>
      <c r="R32" s="807"/>
      <c r="S32" s="298"/>
      <c r="T32" s="298"/>
      <c r="U32" s="298"/>
      <c r="V32" s="786"/>
    </row>
    <row r="33" spans="1:24" s="247" customFormat="1" ht="13.5" thickBot="1">
      <c r="A33" s="396"/>
      <c r="B33" s="300"/>
      <c r="C33" s="301"/>
      <c r="D33" s="301"/>
      <c r="E33" s="301"/>
      <c r="F33" s="301"/>
      <c r="G33" s="301"/>
      <c r="H33" s="302"/>
      <c r="I33" s="303">
        <v>600.9</v>
      </c>
      <c r="J33" s="304" t="s">
        <v>437</v>
      </c>
      <c r="K33" s="305"/>
      <c r="L33" s="810"/>
      <c r="M33" s="816">
        <v>27376</v>
      </c>
      <c r="N33" s="758"/>
      <c r="O33" s="749"/>
      <c r="Q33" s="286"/>
      <c r="R33" s="298"/>
      <c r="S33" s="298"/>
      <c r="T33" s="786"/>
    </row>
    <row r="34" spans="1:24" s="209" customFormat="1" ht="15" customHeight="1" thickBot="1">
      <c r="A34" s="383"/>
      <c r="B34" s="280"/>
      <c r="C34" s="281"/>
      <c r="D34" s="281"/>
      <c r="E34" s="281"/>
      <c r="F34" s="281"/>
      <c r="G34" s="281"/>
      <c r="H34" s="693">
        <v>601</v>
      </c>
      <c r="I34" s="283"/>
      <c r="J34" s="284" t="s">
        <v>328</v>
      </c>
      <c r="K34" s="820">
        <v>6660</v>
      </c>
      <c r="L34" s="285">
        <f>SUM(L35:L36)</f>
        <v>555</v>
      </c>
      <c r="M34" s="719">
        <f>SUM(M35+M36)</f>
        <v>523430</v>
      </c>
      <c r="N34" s="285"/>
      <c r="O34" s="247"/>
      <c r="P34" s="319"/>
      <c r="Q34" s="753"/>
      <c r="S34" s="298"/>
      <c r="T34" s="790"/>
      <c r="U34" s="247"/>
      <c r="V34" s="247"/>
    </row>
    <row r="35" spans="1:24" s="247" customFormat="1">
      <c r="A35" s="396"/>
      <c r="B35" s="306"/>
      <c r="C35" s="307"/>
      <c r="D35" s="307"/>
      <c r="E35" s="307"/>
      <c r="F35" s="307"/>
      <c r="G35" s="307"/>
      <c r="H35" s="308"/>
      <c r="I35" s="309">
        <v>601.01</v>
      </c>
      <c r="J35" s="696" t="s">
        <v>329</v>
      </c>
      <c r="K35" s="821">
        <v>6660</v>
      </c>
      <c r="L35" s="817">
        <v>555</v>
      </c>
      <c r="M35" s="819">
        <v>470147</v>
      </c>
      <c r="N35" s="562"/>
      <c r="O35" s="812"/>
      <c r="Q35" s="298"/>
      <c r="S35" s="298"/>
      <c r="T35" s="790"/>
      <c r="U35" s="149"/>
    </row>
    <row r="36" spans="1:24" s="247" customFormat="1" ht="12.75" customHeight="1" thickBot="1">
      <c r="A36" s="396"/>
      <c r="B36" s="300"/>
      <c r="C36" s="301"/>
      <c r="D36" s="301"/>
      <c r="E36" s="301"/>
      <c r="F36" s="301"/>
      <c r="G36" s="301"/>
      <c r="H36" s="302"/>
      <c r="I36" s="311">
        <v>601.11</v>
      </c>
      <c r="J36" s="698" t="s">
        <v>330</v>
      </c>
      <c r="K36" s="312"/>
      <c r="L36" s="467"/>
      <c r="M36" s="819">
        <v>53283</v>
      </c>
      <c r="N36" s="789"/>
      <c r="O36" s="812"/>
      <c r="Q36" s="793"/>
    </row>
    <row r="37" spans="1:24" s="319" customFormat="1" ht="15" customHeight="1" thickBot="1">
      <c r="A37" s="397"/>
      <c r="B37" s="313"/>
      <c r="C37" s="314"/>
      <c r="D37" s="314"/>
      <c r="E37" s="314"/>
      <c r="F37" s="314"/>
      <c r="G37" s="314"/>
      <c r="H37" s="693">
        <v>602</v>
      </c>
      <c r="I37" s="316"/>
      <c r="J37" s="284" t="s">
        <v>170</v>
      </c>
      <c r="K37" s="285">
        <f>SUM(K38+K45+K58+K73+K78+K81+K90+K96+K103+K106)</f>
        <v>20000</v>
      </c>
      <c r="L37" s="285">
        <f>SUM(L38+L45+L58+L73+L78+L81+L90+L96+L103+L106)</f>
        <v>9000</v>
      </c>
      <c r="M37" s="285">
        <f>SUM(M38+M45+M58+M73+M78+M81+M90+M96+M103+M106)</f>
        <v>4122085</v>
      </c>
      <c r="N37" s="318"/>
      <c r="O37" s="762"/>
      <c r="Q37" s="806"/>
      <c r="S37" s="149"/>
      <c r="U37" s="298"/>
      <c r="V37" s="298"/>
      <c r="W37" s="247"/>
      <c r="X37" s="247"/>
    </row>
    <row r="38" spans="1:24" ht="14.25" customHeight="1" thickBot="1">
      <c r="A38" s="163"/>
      <c r="B38" s="320"/>
      <c r="C38" s="321"/>
      <c r="D38" s="321"/>
      <c r="E38" s="321"/>
      <c r="F38" s="321"/>
      <c r="G38" s="321"/>
      <c r="H38" s="322"/>
      <c r="I38" s="323">
        <v>6020</v>
      </c>
      <c r="J38" s="324" t="s">
        <v>331</v>
      </c>
      <c r="K38" s="822">
        <v>20000</v>
      </c>
      <c r="L38" s="822">
        <v>9000</v>
      </c>
      <c r="M38" s="476">
        <f>SUM(M39+M40+M41+M42+M43+M44)</f>
        <v>0</v>
      </c>
      <c r="N38" s="564"/>
      <c r="P38" s="247"/>
      <c r="Q38" s="799"/>
      <c r="V38" s="298"/>
      <c r="W38" s="247"/>
      <c r="X38" s="247"/>
    </row>
    <row r="39" spans="1:24" ht="12" customHeight="1">
      <c r="A39" s="163"/>
      <c r="B39" s="332"/>
      <c r="C39" s="333"/>
      <c r="D39" s="333"/>
      <c r="E39" s="333"/>
      <c r="F39" s="333"/>
      <c r="G39" s="333"/>
      <c r="H39" s="334"/>
      <c r="I39" s="335" t="s">
        <v>11</v>
      </c>
      <c r="J39" s="336" t="s">
        <v>172</v>
      </c>
      <c r="K39" s="337"/>
      <c r="L39" s="469"/>
      <c r="M39" s="469"/>
      <c r="N39" s="723"/>
      <c r="P39" s="209"/>
      <c r="Q39" s="800"/>
      <c r="V39" s="298"/>
      <c r="W39" s="247"/>
      <c r="X39" s="247"/>
    </row>
    <row r="40" spans="1:24" ht="12" customHeight="1">
      <c r="A40" s="163"/>
      <c r="B40" s="352"/>
      <c r="C40" s="353"/>
      <c r="D40" s="353"/>
      <c r="E40" s="353"/>
      <c r="F40" s="353"/>
      <c r="G40" s="353"/>
      <c r="H40" s="354"/>
      <c r="I40" s="360">
        <v>602.02</v>
      </c>
      <c r="J40" s="361" t="s">
        <v>332</v>
      </c>
      <c r="K40" s="357"/>
      <c r="L40" s="473"/>
      <c r="M40" s="473"/>
      <c r="N40" s="565"/>
      <c r="Q40" s="800"/>
    </row>
    <row r="41" spans="1:24" ht="12" customHeight="1">
      <c r="A41" s="163"/>
      <c r="B41" s="339"/>
      <c r="C41" s="340"/>
      <c r="D41" s="340"/>
      <c r="E41" s="340"/>
      <c r="F41" s="340"/>
      <c r="G41" s="340"/>
      <c r="H41" s="150"/>
      <c r="I41" s="341">
        <v>602.03</v>
      </c>
      <c r="J41" s="342" t="s">
        <v>333</v>
      </c>
      <c r="K41" s="343"/>
      <c r="L41" s="470"/>
      <c r="M41" s="470"/>
      <c r="N41" s="565"/>
      <c r="O41" s="209"/>
      <c r="Q41" s="800"/>
    </row>
    <row r="42" spans="1:24" ht="12" customHeight="1">
      <c r="A42" s="163"/>
      <c r="B42" s="339"/>
      <c r="C42" s="340"/>
      <c r="D42" s="340"/>
      <c r="E42" s="340"/>
      <c r="F42" s="340"/>
      <c r="G42" s="340"/>
      <c r="H42" s="150"/>
      <c r="I42" s="341">
        <v>602.04</v>
      </c>
      <c r="J42" s="342" t="s">
        <v>334</v>
      </c>
      <c r="K42" s="343"/>
      <c r="L42" s="470"/>
      <c r="M42" s="470"/>
      <c r="N42" s="565"/>
      <c r="O42" s="748"/>
      <c r="Q42" s="800"/>
    </row>
    <row r="43" spans="1:24" ht="12" customHeight="1">
      <c r="A43" s="163"/>
      <c r="B43" s="339"/>
      <c r="C43" s="340"/>
      <c r="D43" s="340"/>
      <c r="E43" s="340"/>
      <c r="F43" s="340"/>
      <c r="G43" s="340"/>
      <c r="H43" s="150"/>
      <c r="I43" s="341">
        <v>602.04999999999995</v>
      </c>
      <c r="J43" s="342" t="s">
        <v>176</v>
      </c>
      <c r="K43" s="343"/>
      <c r="L43" s="470"/>
      <c r="M43" s="470"/>
      <c r="N43" s="565"/>
      <c r="O43" s="209"/>
      <c r="Q43" s="800"/>
    </row>
    <row r="44" spans="1:24" ht="12" customHeight="1" thickBot="1">
      <c r="A44" s="163"/>
      <c r="B44" s="345"/>
      <c r="C44" s="346"/>
      <c r="D44" s="346"/>
      <c r="E44" s="346"/>
      <c r="F44" s="346"/>
      <c r="G44" s="346"/>
      <c r="H44" s="164"/>
      <c r="I44" s="347">
        <v>602.09</v>
      </c>
      <c r="J44" s="348" t="s">
        <v>335</v>
      </c>
      <c r="K44" s="349"/>
      <c r="L44" s="471"/>
      <c r="M44" s="471"/>
      <c r="N44" s="565"/>
      <c r="P44" s="247"/>
      <c r="Q44" s="800"/>
    </row>
    <row r="45" spans="1:24" ht="13.5" thickBot="1">
      <c r="A45" s="163"/>
      <c r="B45" s="320"/>
      <c r="C45" s="321"/>
      <c r="D45" s="321"/>
      <c r="E45" s="321"/>
      <c r="F45" s="321"/>
      <c r="G45" s="321"/>
      <c r="H45" s="322"/>
      <c r="I45" s="323">
        <v>602.1</v>
      </c>
      <c r="J45" s="324" t="s">
        <v>336</v>
      </c>
      <c r="K45" s="351">
        <f>SUM(K46+K47+K48+K49+K50+K51+K52+K53+K54+K55+K56+K57)</f>
        <v>0</v>
      </c>
      <c r="L45" s="472">
        <f>SUM(L46+L47+L48+L49+L50+L51+L52+L53+L54+L55+L56+L57)</f>
        <v>0</v>
      </c>
      <c r="M45" s="472">
        <f>SUM(M46+M47+M48+M49+M50+M51+M52+M53+M54+M55+M56+M57)</f>
        <v>393420</v>
      </c>
      <c r="N45" s="472"/>
      <c r="P45" s="247"/>
      <c r="Q45" s="801"/>
    </row>
    <row r="46" spans="1:24" ht="12" customHeight="1">
      <c r="A46" s="163"/>
      <c r="B46" s="352"/>
      <c r="C46" s="353"/>
      <c r="D46" s="353"/>
      <c r="E46" s="353"/>
      <c r="F46" s="353"/>
      <c r="G46" s="353"/>
      <c r="H46" s="354"/>
      <c r="I46" s="355">
        <v>602.1001</v>
      </c>
      <c r="J46" s="699" t="s">
        <v>337</v>
      </c>
      <c r="K46" s="357"/>
      <c r="L46" s="473"/>
      <c r="M46" s="473"/>
      <c r="N46" s="565"/>
      <c r="P46" s="247"/>
      <c r="Q46" s="800"/>
    </row>
    <row r="47" spans="1:24" ht="12" customHeight="1">
      <c r="A47" s="163"/>
      <c r="B47" s="339"/>
      <c r="C47" s="340"/>
      <c r="D47" s="340"/>
      <c r="E47" s="340"/>
      <c r="F47" s="340"/>
      <c r="G47" s="340"/>
      <c r="H47" s="150"/>
      <c r="I47" s="358">
        <v>602.10019999999997</v>
      </c>
      <c r="J47" s="700" t="s">
        <v>338</v>
      </c>
      <c r="K47" s="343"/>
      <c r="L47" s="470"/>
      <c r="M47" s="470"/>
      <c r="N47" s="565"/>
      <c r="P47" s="247"/>
      <c r="Q47" s="800"/>
    </row>
    <row r="48" spans="1:24" ht="12" customHeight="1">
      <c r="A48" s="163"/>
      <c r="B48" s="339"/>
      <c r="C48" s="340"/>
      <c r="D48" s="340"/>
      <c r="E48" s="340"/>
      <c r="F48" s="340"/>
      <c r="G48" s="340"/>
      <c r="H48" s="150"/>
      <c r="I48" s="358">
        <v>602.10029999999995</v>
      </c>
      <c r="J48" s="700" t="s">
        <v>339</v>
      </c>
      <c r="K48" s="343"/>
      <c r="L48" s="470"/>
      <c r="M48" s="470"/>
      <c r="N48" s="565"/>
      <c r="Q48" s="800"/>
    </row>
    <row r="49" spans="1:17" ht="12" customHeight="1">
      <c r="A49" s="163"/>
      <c r="B49" s="339"/>
      <c r="C49" s="340"/>
      <c r="D49" s="340"/>
      <c r="E49" s="340"/>
      <c r="F49" s="340"/>
      <c r="G49" s="340"/>
      <c r="H49" s="150"/>
      <c r="I49" s="358">
        <v>602.10040000000004</v>
      </c>
      <c r="J49" s="700" t="s">
        <v>340</v>
      </c>
      <c r="K49" s="343"/>
      <c r="L49" s="470"/>
      <c r="M49" s="470"/>
      <c r="N49" s="565"/>
      <c r="Q49" s="800"/>
    </row>
    <row r="50" spans="1:17" ht="12" customHeight="1">
      <c r="A50" s="163"/>
      <c r="B50" s="339"/>
      <c r="C50" s="340"/>
      <c r="D50" s="340"/>
      <c r="E50" s="340"/>
      <c r="F50" s="340"/>
      <c r="G50" s="340"/>
      <c r="H50" s="150"/>
      <c r="I50" s="358">
        <v>602.10050000000001</v>
      </c>
      <c r="J50" s="700" t="s">
        <v>341</v>
      </c>
      <c r="K50" s="343"/>
      <c r="L50" s="470"/>
      <c r="M50" s="470"/>
      <c r="N50" s="565"/>
      <c r="Q50" s="800"/>
    </row>
    <row r="51" spans="1:17" ht="12" customHeight="1">
      <c r="A51" s="163"/>
      <c r="B51" s="339"/>
      <c r="C51" s="340"/>
      <c r="D51" s="340"/>
      <c r="E51" s="340"/>
      <c r="F51" s="340"/>
      <c r="G51" s="340"/>
      <c r="H51" s="150"/>
      <c r="I51" s="358">
        <v>602.10059999999999</v>
      </c>
      <c r="J51" s="700" t="s">
        <v>342</v>
      </c>
      <c r="K51" s="343"/>
      <c r="L51" s="470"/>
      <c r="M51" s="470"/>
      <c r="N51" s="565"/>
      <c r="Q51" s="800"/>
    </row>
    <row r="52" spans="1:17" ht="12" customHeight="1">
      <c r="A52" s="163"/>
      <c r="B52" s="339"/>
      <c r="C52" s="340"/>
      <c r="D52" s="340"/>
      <c r="E52" s="340"/>
      <c r="F52" s="340"/>
      <c r="G52" s="340"/>
      <c r="H52" s="150"/>
      <c r="I52" s="358">
        <v>602.10069999999996</v>
      </c>
      <c r="J52" s="700" t="s">
        <v>185</v>
      </c>
      <c r="K52" s="343"/>
      <c r="L52" s="470"/>
      <c r="M52" s="470"/>
      <c r="N52" s="565"/>
      <c r="Q52" s="800"/>
    </row>
    <row r="53" spans="1:17" ht="12" customHeight="1">
      <c r="A53" s="163"/>
      <c r="B53" s="339"/>
      <c r="C53" s="340"/>
      <c r="D53" s="340"/>
      <c r="E53" s="340"/>
      <c r="F53" s="340"/>
      <c r="G53" s="340"/>
      <c r="H53" s="150"/>
      <c r="I53" s="358">
        <v>602.10080000000005</v>
      </c>
      <c r="J53" s="700" t="s">
        <v>343</v>
      </c>
      <c r="K53" s="343"/>
      <c r="L53" s="470"/>
      <c r="M53" s="470"/>
      <c r="N53" s="565"/>
      <c r="Q53" s="800"/>
    </row>
    <row r="54" spans="1:17" ht="12" customHeight="1">
      <c r="A54" s="163"/>
      <c r="B54" s="339"/>
      <c r="C54" s="340"/>
      <c r="D54" s="340"/>
      <c r="E54" s="340"/>
      <c r="F54" s="340"/>
      <c r="G54" s="340"/>
      <c r="H54" s="150"/>
      <c r="I54" s="358">
        <v>602.10090000000002</v>
      </c>
      <c r="J54" s="700" t="s">
        <v>344</v>
      </c>
      <c r="K54" s="344"/>
      <c r="L54" s="474"/>
      <c r="M54" s="474"/>
      <c r="N54" s="567"/>
      <c r="Q54" s="802"/>
    </row>
    <row r="55" spans="1:17" ht="12" customHeight="1">
      <c r="A55" s="163"/>
      <c r="B55" s="339"/>
      <c r="C55" s="340"/>
      <c r="D55" s="340"/>
      <c r="E55" s="340"/>
      <c r="F55" s="340"/>
      <c r="G55" s="340"/>
      <c r="H55" s="150"/>
      <c r="I55" s="358">
        <v>602.101</v>
      </c>
      <c r="J55" s="700" t="s">
        <v>345</v>
      </c>
      <c r="K55" s="344"/>
      <c r="L55" s="474"/>
      <c r="M55" s="474"/>
      <c r="N55" s="567"/>
      <c r="Q55" s="802"/>
    </row>
    <row r="56" spans="1:17" ht="12" customHeight="1">
      <c r="A56" s="163"/>
      <c r="B56" s="339"/>
      <c r="C56" s="340"/>
      <c r="D56" s="340"/>
      <c r="E56" s="340"/>
      <c r="F56" s="340"/>
      <c r="G56" s="340"/>
      <c r="H56" s="150"/>
      <c r="I56" s="341">
        <v>602.10109999999997</v>
      </c>
      <c r="J56" s="700" t="s">
        <v>346</v>
      </c>
      <c r="K56" s="344"/>
      <c r="L56" s="474"/>
      <c r="M56" s="474"/>
      <c r="N56" s="567"/>
      <c r="Q56" s="802"/>
    </row>
    <row r="57" spans="1:17" ht="12" customHeight="1" thickBot="1">
      <c r="A57" s="163"/>
      <c r="B57" s="367"/>
      <c r="C57" s="368"/>
      <c r="D57" s="368"/>
      <c r="E57" s="368"/>
      <c r="F57" s="368"/>
      <c r="G57" s="368"/>
      <c r="H57" s="369"/>
      <c r="I57" s="370">
        <v>602.10990000000004</v>
      </c>
      <c r="J57" s="701" t="s">
        <v>347</v>
      </c>
      <c r="K57" s="378"/>
      <c r="L57" s="475"/>
      <c r="M57" s="475">
        <v>393420</v>
      </c>
      <c r="N57" s="567"/>
      <c r="Q57" s="802"/>
    </row>
    <row r="58" spans="1:17" ht="13.5" thickBot="1">
      <c r="A58" s="163"/>
      <c r="B58" s="320"/>
      <c r="C58" s="321"/>
      <c r="D58" s="321"/>
      <c r="E58" s="321"/>
      <c r="F58" s="321"/>
      <c r="G58" s="321"/>
      <c r="H58" s="322"/>
      <c r="I58" s="323">
        <v>602.20000000000005</v>
      </c>
      <c r="J58" s="324" t="s">
        <v>348</v>
      </c>
      <c r="K58" s="351">
        <f>SUM(K59+K60+K61+K62+K63+K64+K65+K66+K67+K68+K69+K70+K71+K72)</f>
        <v>0</v>
      </c>
      <c r="L58" s="722">
        <f>SUM(L59+L60+L61+L64+L65+L66+L67+L68+L69+L70+L71+L72)</f>
        <v>0</v>
      </c>
      <c r="M58" s="722">
        <f>SUM(M59+M60+M61+M64+M65+M66+M67+M68+M69+M70+M71+M72)</f>
        <v>122628</v>
      </c>
      <c r="N58" s="476"/>
      <c r="Q58" s="799"/>
    </row>
    <row r="59" spans="1:17" ht="12" customHeight="1">
      <c r="A59" s="163"/>
      <c r="B59" s="352"/>
      <c r="C59" s="353"/>
      <c r="D59" s="353"/>
      <c r="E59" s="353"/>
      <c r="F59" s="353"/>
      <c r="G59" s="353"/>
      <c r="H59" s="354"/>
      <c r="I59" s="360">
        <v>602.20010000000002</v>
      </c>
      <c r="J59" s="361" t="s">
        <v>192</v>
      </c>
      <c r="K59" s="362"/>
      <c r="L59" s="755"/>
      <c r="M59" s="755"/>
      <c r="N59" s="568"/>
      <c r="Q59" s="803"/>
    </row>
    <row r="60" spans="1:17" ht="12" customHeight="1">
      <c r="A60" s="163"/>
      <c r="B60" s="339"/>
      <c r="C60" s="340"/>
      <c r="D60" s="340"/>
      <c r="E60" s="340"/>
      <c r="F60" s="340"/>
      <c r="G60" s="340"/>
      <c r="H60" s="150"/>
      <c r="I60" s="341">
        <v>602.2002</v>
      </c>
      <c r="J60" s="342" t="s">
        <v>349</v>
      </c>
      <c r="K60" s="344"/>
      <c r="L60" s="474">
        <v>0</v>
      </c>
      <c r="M60" s="474">
        <v>0</v>
      </c>
      <c r="N60" s="567"/>
      <c r="Q60" s="802"/>
    </row>
    <row r="61" spans="1:17" ht="12" customHeight="1">
      <c r="A61" s="163"/>
      <c r="B61" s="339"/>
      <c r="C61" s="340"/>
      <c r="D61" s="340"/>
      <c r="E61" s="340"/>
      <c r="F61" s="340"/>
      <c r="G61" s="340"/>
      <c r="H61" s="150"/>
      <c r="I61" s="341">
        <v>602.20029999999997</v>
      </c>
      <c r="J61" s="342" t="s">
        <v>350</v>
      </c>
      <c r="K61" s="344"/>
      <c r="L61" s="478">
        <f>L62+L63</f>
        <v>0</v>
      </c>
      <c r="M61" s="478">
        <f>M62+M63</f>
        <v>54000</v>
      </c>
      <c r="N61" s="569"/>
      <c r="Q61" s="804"/>
    </row>
    <row r="62" spans="1:17" ht="12" customHeight="1">
      <c r="A62" s="163"/>
      <c r="B62" s="339"/>
      <c r="C62" s="340"/>
      <c r="D62" s="340"/>
      <c r="E62" s="340"/>
      <c r="F62" s="340"/>
      <c r="G62" s="340"/>
      <c r="H62" s="150"/>
      <c r="I62" s="341"/>
      <c r="J62" s="363" t="s">
        <v>195</v>
      </c>
      <c r="K62" s="344"/>
      <c r="L62" s="764"/>
      <c r="M62" s="764"/>
      <c r="N62" s="570"/>
      <c r="P62" s="750"/>
      <c r="Q62" s="750"/>
    </row>
    <row r="63" spans="1:17" ht="12" customHeight="1">
      <c r="A63" s="163"/>
      <c r="B63" s="339"/>
      <c r="C63" s="340"/>
      <c r="D63" s="340"/>
      <c r="E63" s="340"/>
      <c r="F63" s="340"/>
      <c r="G63" s="340"/>
      <c r="H63" s="150"/>
      <c r="I63" s="341"/>
      <c r="J63" s="363" t="s">
        <v>438</v>
      </c>
      <c r="K63" s="344"/>
      <c r="L63" s="765"/>
      <c r="M63" s="765">
        <v>54000</v>
      </c>
      <c r="N63" s="571"/>
      <c r="P63" s="751"/>
      <c r="Q63" s="751"/>
    </row>
    <row r="64" spans="1:17" ht="12" customHeight="1">
      <c r="A64" s="163"/>
      <c r="B64" s="339"/>
      <c r="C64" s="340"/>
      <c r="D64" s="340"/>
      <c r="E64" s="340"/>
      <c r="F64" s="340"/>
      <c r="G64" s="340"/>
      <c r="H64" s="150"/>
      <c r="I64" s="341">
        <v>602.20039999999995</v>
      </c>
      <c r="J64" s="342" t="s">
        <v>351</v>
      </c>
      <c r="K64" s="344"/>
      <c r="L64" s="754"/>
      <c r="M64" s="754">
        <v>32628</v>
      </c>
      <c r="N64" s="572"/>
      <c r="Q64" s="703"/>
    </row>
    <row r="65" spans="1:20" ht="12" customHeight="1">
      <c r="A65" s="163"/>
      <c r="B65" s="339"/>
      <c r="C65" s="340"/>
      <c r="D65" s="340"/>
      <c r="E65" s="340"/>
      <c r="F65" s="340"/>
      <c r="G65" s="340"/>
      <c r="H65" s="150"/>
      <c r="I65" s="341">
        <v>602.20050000000003</v>
      </c>
      <c r="J65" s="342" t="s">
        <v>352</v>
      </c>
      <c r="K65" s="344"/>
      <c r="L65" s="474"/>
      <c r="M65" s="474"/>
      <c r="N65" s="567"/>
      <c r="O65" s="512"/>
      <c r="P65" s="512"/>
      <c r="Q65" s="802"/>
      <c r="S65" s="512"/>
      <c r="T65" s="512"/>
    </row>
    <row r="66" spans="1:20" ht="12" customHeight="1">
      <c r="A66" s="163"/>
      <c r="B66" s="339"/>
      <c r="C66" s="340"/>
      <c r="D66" s="340"/>
      <c r="E66" s="340"/>
      <c r="F66" s="340"/>
      <c r="G66" s="340"/>
      <c r="H66" s="150"/>
      <c r="I66" s="341">
        <v>602.20060000000001</v>
      </c>
      <c r="J66" s="342" t="s">
        <v>353</v>
      </c>
      <c r="K66" s="344"/>
      <c r="L66" s="474"/>
      <c r="M66" s="474"/>
      <c r="N66" s="567"/>
      <c r="O66" s="512"/>
      <c r="P66" s="512"/>
      <c r="Q66" s="802"/>
    </row>
    <row r="67" spans="1:20" ht="12" customHeight="1">
      <c r="A67" s="163"/>
      <c r="B67" s="339"/>
      <c r="C67" s="340"/>
      <c r="D67" s="340"/>
      <c r="E67" s="340"/>
      <c r="F67" s="340"/>
      <c r="G67" s="340"/>
      <c r="H67" s="150"/>
      <c r="I67" s="341">
        <v>602.20069999999998</v>
      </c>
      <c r="J67" s="342" t="s">
        <v>354</v>
      </c>
      <c r="K67" s="344"/>
      <c r="L67" s="783"/>
      <c r="M67" s="783"/>
      <c r="N67" s="567"/>
      <c r="O67" s="512"/>
      <c r="P67" s="512"/>
      <c r="Q67" s="802"/>
    </row>
    <row r="68" spans="1:20" ht="12" customHeight="1">
      <c r="A68" s="163"/>
      <c r="B68" s="339"/>
      <c r="C68" s="340"/>
      <c r="D68" s="340"/>
      <c r="E68" s="340"/>
      <c r="F68" s="340"/>
      <c r="G68" s="340"/>
      <c r="H68" s="150"/>
      <c r="I68" s="341">
        <v>602.20079999999996</v>
      </c>
      <c r="J68" s="342" t="s">
        <v>355</v>
      </c>
      <c r="K68" s="344"/>
      <c r="L68" s="474"/>
      <c r="M68" s="474"/>
      <c r="N68" s="567"/>
      <c r="O68" s="512"/>
      <c r="P68" s="512"/>
      <c r="Q68" s="802"/>
    </row>
    <row r="69" spans="1:20" ht="12" customHeight="1">
      <c r="A69" s="163"/>
      <c r="B69" s="339"/>
      <c r="C69" s="340"/>
      <c r="D69" s="340"/>
      <c r="E69" s="340"/>
      <c r="F69" s="340"/>
      <c r="G69" s="340"/>
      <c r="H69" s="150"/>
      <c r="I69" s="341">
        <v>602.20090000000005</v>
      </c>
      <c r="J69" s="342" t="s">
        <v>356</v>
      </c>
      <c r="K69" s="344"/>
      <c r="L69" s="474"/>
      <c r="M69" s="474"/>
      <c r="N69" s="567"/>
      <c r="O69" s="512"/>
      <c r="P69" s="512"/>
      <c r="Q69" s="802"/>
    </row>
    <row r="70" spans="1:20" ht="12" customHeight="1">
      <c r="A70" s="163"/>
      <c r="B70" s="339"/>
      <c r="C70" s="340"/>
      <c r="D70" s="340"/>
      <c r="E70" s="340"/>
      <c r="F70" s="340"/>
      <c r="G70" s="340"/>
      <c r="H70" s="150"/>
      <c r="I70" s="341">
        <v>602.20100000000002</v>
      </c>
      <c r="J70" s="342" t="s">
        <v>357</v>
      </c>
      <c r="K70" s="344"/>
      <c r="L70" s="474"/>
      <c r="M70" s="474"/>
      <c r="N70" s="567"/>
      <c r="O70" s="512"/>
      <c r="P70" s="512"/>
      <c r="Q70" s="802"/>
    </row>
    <row r="71" spans="1:20" ht="12" customHeight="1">
      <c r="A71" s="163"/>
      <c r="B71" s="339"/>
      <c r="C71" s="340"/>
      <c r="D71" s="340"/>
      <c r="E71" s="340"/>
      <c r="F71" s="340"/>
      <c r="G71" s="340"/>
      <c r="H71" s="150"/>
      <c r="I71" s="341">
        <v>602.20110000000102</v>
      </c>
      <c r="J71" s="342" t="s">
        <v>204</v>
      </c>
      <c r="K71" s="344"/>
      <c r="L71" s="474"/>
      <c r="M71" s="474"/>
      <c r="N71" s="567"/>
      <c r="O71" s="512"/>
      <c r="P71" s="512"/>
      <c r="Q71" s="802"/>
    </row>
    <row r="72" spans="1:20" ht="12" customHeight="1" thickBot="1">
      <c r="A72" s="163"/>
      <c r="B72" s="345"/>
      <c r="C72" s="346"/>
      <c r="D72" s="346"/>
      <c r="E72" s="346"/>
      <c r="F72" s="346"/>
      <c r="G72" s="346"/>
      <c r="H72" s="164"/>
      <c r="I72" s="347">
        <v>602.20989999999995</v>
      </c>
      <c r="J72" s="348" t="s">
        <v>358</v>
      </c>
      <c r="K72" s="350"/>
      <c r="L72" s="475"/>
      <c r="M72" s="475">
        <v>36000</v>
      </c>
      <c r="N72" s="567"/>
      <c r="O72" s="512"/>
      <c r="P72" s="512"/>
      <c r="Q72" s="802"/>
    </row>
    <row r="73" spans="1:20" ht="13.5" thickBot="1">
      <c r="A73" s="163"/>
      <c r="B73" s="320"/>
      <c r="C73" s="321"/>
      <c r="D73" s="321"/>
      <c r="E73" s="321"/>
      <c r="F73" s="321"/>
      <c r="G73" s="321"/>
      <c r="H73" s="322"/>
      <c r="I73" s="323">
        <v>6023</v>
      </c>
      <c r="J73" s="324" t="s">
        <v>206</v>
      </c>
      <c r="K73" s="351">
        <f>SUM(K74+K75+K76+K77)</f>
        <v>0</v>
      </c>
      <c r="L73" s="476">
        <f>SUM(L74+L75+L76+L77)</f>
        <v>0</v>
      </c>
      <c r="M73" s="476">
        <f>SUM(M74:M77)</f>
        <v>2301612</v>
      </c>
      <c r="N73" s="476"/>
      <c r="O73" s="512"/>
      <c r="P73" s="512"/>
      <c r="Q73" s="799"/>
    </row>
    <row r="74" spans="1:20">
      <c r="A74" s="163"/>
      <c r="B74" s="352"/>
      <c r="C74" s="353"/>
      <c r="D74" s="353"/>
      <c r="E74" s="353"/>
      <c r="F74" s="353"/>
      <c r="G74" s="353"/>
      <c r="H74" s="354"/>
      <c r="I74" s="360">
        <v>602.30999999999995</v>
      </c>
      <c r="J74" s="361" t="s">
        <v>207</v>
      </c>
      <c r="K74" s="362"/>
      <c r="L74" s="477"/>
      <c r="M74" s="477">
        <v>2301612</v>
      </c>
      <c r="N74" s="724"/>
      <c r="O74" s="512"/>
      <c r="P74" s="512"/>
      <c r="Q74" s="802"/>
    </row>
    <row r="75" spans="1:20">
      <c r="A75" s="163"/>
      <c r="B75" s="339"/>
      <c r="C75" s="340"/>
      <c r="D75" s="340"/>
      <c r="E75" s="340"/>
      <c r="F75" s="340"/>
      <c r="G75" s="340"/>
      <c r="H75" s="150"/>
      <c r="I75" s="341">
        <v>602.32000000000005</v>
      </c>
      <c r="J75" s="342" t="s">
        <v>359</v>
      </c>
      <c r="K75" s="344"/>
      <c r="L75" s="474"/>
      <c r="M75" s="474"/>
      <c r="N75" s="567"/>
      <c r="Q75" s="802"/>
    </row>
    <row r="76" spans="1:20">
      <c r="A76" s="163"/>
      <c r="B76" s="339"/>
      <c r="C76" s="340"/>
      <c r="D76" s="340"/>
      <c r="E76" s="340"/>
      <c r="F76" s="340"/>
      <c r="G76" s="340"/>
      <c r="H76" s="150"/>
      <c r="I76" s="341">
        <v>602.33000000000004</v>
      </c>
      <c r="J76" s="342" t="s">
        <v>360</v>
      </c>
      <c r="K76" s="344"/>
      <c r="L76" s="474"/>
      <c r="M76" s="474"/>
      <c r="N76" s="567"/>
      <c r="Q76" s="802"/>
    </row>
    <row r="77" spans="1:20" ht="13.5" thickBot="1">
      <c r="A77" s="163"/>
      <c r="B77" s="345"/>
      <c r="C77" s="346"/>
      <c r="D77" s="346"/>
      <c r="E77" s="346"/>
      <c r="F77" s="346"/>
      <c r="G77" s="346"/>
      <c r="H77" s="164"/>
      <c r="I77" s="347">
        <v>602.39</v>
      </c>
      <c r="J77" s="348" t="s">
        <v>361</v>
      </c>
      <c r="K77" s="350"/>
      <c r="L77" s="798"/>
      <c r="M77" s="798"/>
      <c r="N77" s="567"/>
      <c r="Q77" s="802"/>
    </row>
    <row r="78" spans="1:20" ht="13.5" thickBot="1">
      <c r="A78" s="163"/>
      <c r="B78" s="320"/>
      <c r="C78" s="321"/>
      <c r="D78" s="321"/>
      <c r="E78" s="321"/>
      <c r="F78" s="321"/>
      <c r="G78" s="321"/>
      <c r="H78" s="322"/>
      <c r="I78" s="323">
        <v>602.4</v>
      </c>
      <c r="J78" s="324" t="s">
        <v>362</v>
      </c>
      <c r="K78" s="351">
        <f>SUM(K79+K80)</f>
        <v>0</v>
      </c>
      <c r="L78" s="476">
        <f>SUM(L79+L80)</f>
        <v>0</v>
      </c>
      <c r="M78" s="476">
        <f>SUM(M79:M80)</f>
        <v>1304425</v>
      </c>
      <c r="N78" s="476"/>
      <c r="Q78" s="799"/>
    </row>
    <row r="79" spans="1:20">
      <c r="A79" s="163"/>
      <c r="B79" s="352"/>
      <c r="C79" s="353"/>
      <c r="D79" s="353"/>
      <c r="E79" s="353"/>
      <c r="F79" s="353"/>
      <c r="G79" s="353"/>
      <c r="H79" s="354"/>
      <c r="I79" s="360">
        <v>602.4</v>
      </c>
      <c r="J79" s="361" t="s">
        <v>363</v>
      </c>
      <c r="K79" s="362"/>
      <c r="L79" s="712"/>
      <c r="M79" s="712">
        <v>1304425</v>
      </c>
      <c r="N79" s="573"/>
      <c r="Q79" s="805"/>
    </row>
    <row r="80" spans="1:20" ht="13.5" thickBot="1">
      <c r="A80" s="163"/>
      <c r="B80" s="345"/>
      <c r="C80" s="346"/>
      <c r="D80" s="346"/>
      <c r="E80" s="346"/>
      <c r="F80" s="346"/>
      <c r="G80" s="346"/>
      <c r="H80" s="164"/>
      <c r="I80" s="347">
        <v>602.41</v>
      </c>
      <c r="J80" s="348" t="s">
        <v>364</v>
      </c>
      <c r="K80" s="350"/>
      <c r="L80" s="797"/>
      <c r="M80" s="797"/>
      <c r="N80" s="794"/>
      <c r="O80" s="209"/>
      <c r="P80" s="718"/>
      <c r="Q80" s="802"/>
    </row>
    <row r="81" spans="1:17" ht="13.5" thickBot="1">
      <c r="A81" s="163"/>
      <c r="B81" s="320"/>
      <c r="C81" s="321"/>
      <c r="D81" s="321"/>
      <c r="E81" s="321"/>
      <c r="F81" s="321"/>
      <c r="G81" s="321"/>
      <c r="H81" s="322"/>
      <c r="I81" s="323">
        <v>602.5</v>
      </c>
      <c r="J81" s="324" t="s">
        <v>365</v>
      </c>
      <c r="K81" s="351">
        <f>SUM(K82+K83+K84+K85+K86+K87+K88+K89)</f>
        <v>0</v>
      </c>
      <c r="L81" s="472">
        <f>SUM(L82+L83+L84+L85+L86+L87+L88+L89)</f>
        <v>0</v>
      </c>
      <c r="M81" s="472">
        <f>SUM(M82:M89)</f>
        <v>0</v>
      </c>
      <c r="N81" s="472"/>
      <c r="Q81" s="801"/>
    </row>
    <row r="82" spans="1:17">
      <c r="A82" s="163"/>
      <c r="B82" s="352"/>
      <c r="C82" s="353"/>
      <c r="D82" s="353"/>
      <c r="E82" s="353"/>
      <c r="F82" s="353"/>
      <c r="G82" s="353"/>
      <c r="H82" s="354"/>
      <c r="I82" s="360">
        <v>602.5</v>
      </c>
      <c r="J82" s="361" t="s">
        <v>366</v>
      </c>
      <c r="K82" s="364"/>
      <c r="L82" s="481"/>
      <c r="M82" s="481"/>
      <c r="N82" s="566"/>
      <c r="Q82" s="801"/>
    </row>
    <row r="83" spans="1:17">
      <c r="A83" s="163"/>
      <c r="B83" s="339"/>
      <c r="C83" s="340"/>
      <c r="D83" s="340"/>
      <c r="E83" s="340"/>
      <c r="F83" s="340"/>
      <c r="G83" s="340"/>
      <c r="H83" s="150"/>
      <c r="I83" s="341">
        <v>602.51</v>
      </c>
      <c r="J83" s="342" t="s">
        <v>367</v>
      </c>
      <c r="K83" s="365"/>
      <c r="L83" s="482"/>
      <c r="M83" s="482"/>
      <c r="N83" s="566"/>
      <c r="Q83" s="801"/>
    </row>
    <row r="84" spans="1:17">
      <c r="A84" s="163"/>
      <c r="B84" s="339"/>
      <c r="C84" s="340"/>
      <c r="D84" s="340"/>
      <c r="E84" s="340"/>
      <c r="F84" s="340"/>
      <c r="G84" s="340"/>
      <c r="H84" s="150"/>
      <c r="I84" s="341">
        <v>602.52</v>
      </c>
      <c r="J84" s="342" t="s">
        <v>368</v>
      </c>
      <c r="K84" s="365"/>
      <c r="L84" s="482"/>
      <c r="M84" s="482"/>
      <c r="N84" s="566"/>
      <c r="Q84" s="801"/>
    </row>
    <row r="85" spans="1:17" ht="13.5" thickBot="1">
      <c r="A85" s="163"/>
      <c r="B85" s="367"/>
      <c r="C85" s="368"/>
      <c r="D85" s="368"/>
      <c r="E85" s="368"/>
      <c r="F85" s="368"/>
      <c r="G85" s="368"/>
      <c r="H85" s="369"/>
      <c r="I85" s="370">
        <v>602.53</v>
      </c>
      <c r="J85" s="371" t="s">
        <v>369</v>
      </c>
      <c r="K85" s="372"/>
      <c r="L85" s="483"/>
      <c r="M85" s="483"/>
      <c r="N85" s="566"/>
      <c r="Q85" s="801"/>
    </row>
    <row r="86" spans="1:17">
      <c r="A86" s="163"/>
      <c r="B86" s="332"/>
      <c r="C86" s="333"/>
      <c r="D86" s="333"/>
      <c r="E86" s="333"/>
      <c r="F86" s="333"/>
      <c r="G86" s="333"/>
      <c r="H86" s="334"/>
      <c r="I86" s="335">
        <v>602.54</v>
      </c>
      <c r="J86" s="336" t="s">
        <v>405</v>
      </c>
      <c r="K86" s="373"/>
      <c r="L86" s="469"/>
      <c r="M86" s="469"/>
      <c r="N86" s="566"/>
      <c r="Q86" s="800"/>
    </row>
    <row r="87" spans="1:17">
      <c r="A87" s="163"/>
      <c r="B87" s="339"/>
      <c r="C87" s="340"/>
      <c r="D87" s="340"/>
      <c r="E87" s="340"/>
      <c r="F87" s="340"/>
      <c r="G87" s="340"/>
      <c r="H87" s="150"/>
      <c r="I87" s="341">
        <v>602.54999999999995</v>
      </c>
      <c r="J87" s="342" t="s">
        <v>370</v>
      </c>
      <c r="K87" s="365"/>
      <c r="L87" s="710"/>
      <c r="M87" s="710"/>
      <c r="N87" s="573"/>
      <c r="Q87" s="805"/>
    </row>
    <row r="88" spans="1:17">
      <c r="A88" s="163"/>
      <c r="B88" s="339"/>
      <c r="C88" s="340"/>
      <c r="D88" s="340"/>
      <c r="E88" s="340"/>
      <c r="F88" s="340"/>
      <c r="G88" s="340"/>
      <c r="H88" s="150"/>
      <c r="I88" s="341">
        <v>602.55999999999995</v>
      </c>
      <c r="J88" s="342" t="s">
        <v>371</v>
      </c>
      <c r="K88" s="365"/>
      <c r="L88" s="482"/>
      <c r="M88" s="482"/>
      <c r="N88" s="566"/>
      <c r="Q88" s="801"/>
    </row>
    <row r="89" spans="1:17" ht="13.5" thickBot="1">
      <c r="A89" s="163"/>
      <c r="B89" s="345"/>
      <c r="C89" s="346"/>
      <c r="D89" s="346"/>
      <c r="E89" s="346"/>
      <c r="F89" s="346"/>
      <c r="G89" s="346"/>
      <c r="H89" s="164"/>
      <c r="I89" s="347">
        <v>602.58000000000004</v>
      </c>
      <c r="J89" s="348" t="s">
        <v>372</v>
      </c>
      <c r="K89" s="374"/>
      <c r="L89" s="711"/>
      <c r="M89" s="711"/>
      <c r="N89" s="573"/>
      <c r="Q89" s="805"/>
    </row>
    <row r="90" spans="1:17" ht="13.5" thickBot="1">
      <c r="A90" s="163"/>
      <c r="B90" s="320"/>
      <c r="C90" s="321"/>
      <c r="D90" s="321"/>
      <c r="E90" s="321"/>
      <c r="F90" s="321"/>
      <c r="G90" s="321"/>
      <c r="H90" s="322"/>
      <c r="I90" s="323">
        <v>602.6</v>
      </c>
      <c r="J90" s="324" t="s">
        <v>373</v>
      </c>
      <c r="K90" s="376">
        <f>SUM(K91+K92+K93+K94+K95)</f>
        <v>0</v>
      </c>
      <c r="L90" s="485">
        <f>SUM(L91+L92+L93+L94+L95)</f>
        <v>0</v>
      </c>
      <c r="M90" s="485">
        <f>SUM(M91+M92+M93+M94+M95)</f>
        <v>0</v>
      </c>
      <c r="N90" s="569"/>
      <c r="Q90" s="804"/>
    </row>
    <row r="91" spans="1:17">
      <c r="A91" s="163"/>
      <c r="B91" s="352"/>
      <c r="C91" s="353"/>
      <c r="D91" s="353"/>
      <c r="E91" s="353"/>
      <c r="F91" s="353"/>
      <c r="G91" s="353"/>
      <c r="H91" s="354"/>
      <c r="I91" s="360">
        <v>602.61</v>
      </c>
      <c r="J91" s="361" t="s">
        <v>374</v>
      </c>
      <c r="K91" s="364"/>
      <c r="L91" s="481"/>
      <c r="M91" s="481"/>
      <c r="N91" s="566"/>
      <c r="Q91" s="801"/>
    </row>
    <row r="92" spans="1:17">
      <c r="A92" s="163"/>
      <c r="B92" s="339"/>
      <c r="C92" s="340"/>
      <c r="D92" s="340"/>
      <c r="E92" s="340"/>
      <c r="F92" s="340"/>
      <c r="G92" s="340"/>
      <c r="H92" s="150"/>
      <c r="I92" s="341">
        <v>602.62</v>
      </c>
      <c r="J92" s="342" t="s">
        <v>375</v>
      </c>
      <c r="K92" s="365"/>
      <c r="L92" s="482"/>
      <c r="M92" s="482"/>
      <c r="N92" s="566"/>
      <c r="Q92" s="801"/>
    </row>
    <row r="93" spans="1:17">
      <c r="A93" s="163"/>
      <c r="B93" s="339"/>
      <c r="C93" s="340"/>
      <c r="D93" s="340"/>
      <c r="E93" s="340"/>
      <c r="F93" s="340"/>
      <c r="G93" s="340"/>
      <c r="H93" s="150"/>
      <c r="I93" s="341">
        <v>602.63</v>
      </c>
      <c r="J93" s="342" t="s">
        <v>376</v>
      </c>
      <c r="K93" s="365"/>
      <c r="L93" s="482"/>
      <c r="M93" s="482"/>
      <c r="N93" s="566"/>
      <c r="Q93" s="801"/>
    </row>
    <row r="94" spans="1:17">
      <c r="A94" s="163"/>
      <c r="B94" s="339"/>
      <c r="C94" s="340"/>
      <c r="D94" s="340"/>
      <c r="E94" s="340"/>
      <c r="F94" s="340"/>
      <c r="G94" s="340"/>
      <c r="H94" s="150"/>
      <c r="I94" s="341">
        <v>602.64</v>
      </c>
      <c r="J94" s="342" t="s">
        <v>377</v>
      </c>
      <c r="K94" s="365"/>
      <c r="L94" s="482"/>
      <c r="M94" s="482"/>
      <c r="N94" s="566"/>
      <c r="Q94" s="801"/>
    </row>
    <row r="95" spans="1:17" ht="13.5" thickBot="1">
      <c r="A95" s="163"/>
      <c r="B95" s="345"/>
      <c r="C95" s="346"/>
      <c r="D95" s="346"/>
      <c r="E95" s="346"/>
      <c r="F95" s="346"/>
      <c r="G95" s="346"/>
      <c r="H95" s="164"/>
      <c r="I95" s="347">
        <v>602.69000000000005</v>
      </c>
      <c r="J95" s="348" t="s">
        <v>378</v>
      </c>
      <c r="K95" s="374"/>
      <c r="L95" s="486"/>
      <c r="M95" s="486"/>
      <c r="N95" s="566"/>
      <c r="Q95" s="801"/>
    </row>
    <row r="96" spans="1:17" ht="13.5" thickBot="1">
      <c r="A96" s="163"/>
      <c r="B96" s="320"/>
      <c r="C96" s="321"/>
      <c r="D96" s="321"/>
      <c r="E96" s="321"/>
      <c r="F96" s="321"/>
      <c r="G96" s="321"/>
      <c r="H96" s="322"/>
      <c r="I96" s="377">
        <v>602.70000000000005</v>
      </c>
      <c r="J96" s="324" t="s">
        <v>379</v>
      </c>
      <c r="K96" s="376">
        <f>SUM(K97+K98+K99+K100+K101+K102)</f>
        <v>0</v>
      </c>
      <c r="L96" s="485">
        <f>SUM(L97+L98+L99+L100+L101+L102)</f>
        <v>0</v>
      </c>
      <c r="M96" s="485">
        <f>SUM(M97:M102)</f>
        <v>0</v>
      </c>
      <c r="N96" s="485"/>
      <c r="Q96" s="804"/>
    </row>
    <row r="97" spans="1:17">
      <c r="A97" s="163"/>
      <c r="B97" s="352"/>
      <c r="C97" s="353"/>
      <c r="D97" s="353"/>
      <c r="E97" s="353"/>
      <c r="F97" s="353"/>
      <c r="G97" s="353"/>
      <c r="H97" s="354"/>
      <c r="I97" s="360">
        <v>602.71</v>
      </c>
      <c r="J97" s="361" t="s">
        <v>380</v>
      </c>
      <c r="K97" s="364"/>
      <c r="L97" s="481"/>
      <c r="M97" s="481"/>
      <c r="N97" s="566"/>
      <c r="Q97" s="801"/>
    </row>
    <row r="98" spans="1:17">
      <c r="A98" s="163"/>
      <c r="B98" s="339"/>
      <c r="C98" s="340"/>
      <c r="D98" s="340"/>
      <c r="E98" s="340"/>
      <c r="F98" s="340"/>
      <c r="G98" s="340"/>
      <c r="H98" s="150"/>
      <c r="I98" s="341">
        <v>602.72</v>
      </c>
      <c r="J98" s="342" t="s">
        <v>381</v>
      </c>
      <c r="K98" s="365"/>
      <c r="L98" s="482"/>
      <c r="M98" s="482"/>
      <c r="N98" s="566"/>
      <c r="Q98" s="801"/>
    </row>
    <row r="99" spans="1:17">
      <c r="A99" s="163"/>
      <c r="B99" s="339"/>
      <c r="C99" s="340"/>
      <c r="D99" s="340"/>
      <c r="E99" s="340"/>
      <c r="F99" s="340"/>
      <c r="G99" s="340"/>
      <c r="H99" s="150"/>
      <c r="I99" s="341">
        <v>602.73</v>
      </c>
      <c r="J99" s="342" t="s">
        <v>382</v>
      </c>
      <c r="K99" s="365"/>
      <c r="L99" s="482"/>
      <c r="M99" s="482"/>
      <c r="N99" s="566"/>
      <c r="Q99" s="801"/>
    </row>
    <row r="100" spans="1:17">
      <c r="A100" s="163"/>
      <c r="B100" s="339"/>
      <c r="C100" s="340"/>
      <c r="D100" s="340"/>
      <c r="E100" s="340"/>
      <c r="F100" s="340"/>
      <c r="G100" s="340"/>
      <c r="H100" s="150"/>
      <c r="I100" s="341">
        <v>602.74</v>
      </c>
      <c r="J100" s="342" t="s">
        <v>383</v>
      </c>
      <c r="K100" s="365"/>
      <c r="L100" s="781"/>
      <c r="M100" s="781"/>
      <c r="N100" s="566"/>
      <c r="Q100" s="801"/>
    </row>
    <row r="101" spans="1:17">
      <c r="A101" s="163"/>
      <c r="B101" s="339"/>
      <c r="C101" s="340"/>
      <c r="D101" s="340"/>
      <c r="E101" s="340"/>
      <c r="F101" s="340"/>
      <c r="G101" s="340"/>
      <c r="H101" s="150"/>
      <c r="I101" s="341">
        <v>602.75</v>
      </c>
      <c r="J101" s="342" t="s">
        <v>384</v>
      </c>
      <c r="K101" s="365"/>
      <c r="L101" s="482"/>
      <c r="M101" s="482"/>
      <c r="N101" s="566"/>
      <c r="Q101" s="801"/>
    </row>
    <row r="102" spans="1:17" ht="13.5" thickBot="1">
      <c r="A102" s="163"/>
      <c r="B102" s="345"/>
      <c r="C102" s="346"/>
      <c r="D102" s="346"/>
      <c r="E102" s="346"/>
      <c r="F102" s="346"/>
      <c r="G102" s="346"/>
      <c r="H102" s="164"/>
      <c r="I102" s="347">
        <v>602.79</v>
      </c>
      <c r="J102" s="348" t="s">
        <v>385</v>
      </c>
      <c r="K102" s="374"/>
      <c r="L102" s="486"/>
      <c r="M102" s="486"/>
      <c r="N102" s="566"/>
      <c r="Q102" s="801"/>
    </row>
    <row r="103" spans="1:17" ht="13.5" thickBot="1">
      <c r="A103" s="163"/>
      <c r="B103" s="320"/>
      <c r="C103" s="321"/>
      <c r="D103" s="321"/>
      <c r="E103" s="321"/>
      <c r="F103" s="321"/>
      <c r="G103" s="321"/>
      <c r="H103" s="322"/>
      <c r="I103" s="377">
        <v>602.79999999999995</v>
      </c>
      <c r="J103" s="324" t="s">
        <v>386</v>
      </c>
      <c r="K103" s="376">
        <f>SUM(K104+K105)</f>
        <v>0</v>
      </c>
      <c r="L103" s="485">
        <f>SUM(L104+L105)</f>
        <v>0</v>
      </c>
      <c r="M103" s="485">
        <f>SUM(M104+M105)</f>
        <v>0</v>
      </c>
      <c r="N103" s="485"/>
      <c r="Q103" s="804"/>
    </row>
    <row r="104" spans="1:17">
      <c r="A104" s="163"/>
      <c r="B104" s="352"/>
      <c r="C104" s="353"/>
      <c r="D104" s="353"/>
      <c r="E104" s="353"/>
      <c r="F104" s="353"/>
      <c r="G104" s="353"/>
      <c r="H104" s="354"/>
      <c r="I104" s="360">
        <v>602.80999999999995</v>
      </c>
      <c r="J104" s="361" t="s">
        <v>387</v>
      </c>
      <c r="K104" s="357"/>
      <c r="L104" s="473"/>
      <c r="M104" s="473"/>
      <c r="N104" s="565"/>
      <c r="Q104" s="800"/>
    </row>
    <row r="105" spans="1:17" ht="13.5" thickBot="1">
      <c r="A105" s="163"/>
      <c r="B105" s="345"/>
      <c r="C105" s="346"/>
      <c r="D105" s="346"/>
      <c r="E105" s="346"/>
      <c r="F105" s="346"/>
      <c r="G105" s="346"/>
      <c r="H105" s="164"/>
      <c r="I105" s="347">
        <v>602.82000000000005</v>
      </c>
      <c r="J105" s="348" t="s">
        <v>388</v>
      </c>
      <c r="K105" s="349"/>
      <c r="L105" s="471"/>
      <c r="M105" s="471"/>
      <c r="N105" s="565"/>
      <c r="Q105" s="800"/>
    </row>
    <row r="106" spans="1:17" ht="13.5" thickBot="1">
      <c r="A106" s="163"/>
      <c r="B106" s="320"/>
      <c r="C106" s="321"/>
      <c r="D106" s="321"/>
      <c r="E106" s="321"/>
      <c r="F106" s="321"/>
      <c r="G106" s="321"/>
      <c r="H106" s="322"/>
      <c r="I106" s="323">
        <v>602.9</v>
      </c>
      <c r="J106" s="324" t="s">
        <v>389</v>
      </c>
      <c r="K106" s="376">
        <f>SUM(K107+K108+K109+K110+K111+K112+K113+K114+K115)</f>
        <v>0</v>
      </c>
      <c r="L106" s="485">
        <f>SUM(L107+L108+L109+L110+L111+L112+L113+L114+L115)</f>
        <v>0</v>
      </c>
      <c r="M106" s="485">
        <f>SUM(M107+M108+M109+M110+M111+M112+M113+M114+M115)</f>
        <v>0</v>
      </c>
      <c r="N106" s="485"/>
      <c r="Q106" s="804"/>
    </row>
    <row r="107" spans="1:17" ht="12" customHeight="1">
      <c r="A107" s="163"/>
      <c r="B107" s="332"/>
      <c r="C107" s="333"/>
      <c r="D107" s="333"/>
      <c r="E107" s="333"/>
      <c r="F107" s="333"/>
      <c r="G107" s="333"/>
      <c r="H107" s="334"/>
      <c r="I107" s="335">
        <v>602.90009999999995</v>
      </c>
      <c r="J107" s="336" t="s">
        <v>390</v>
      </c>
      <c r="K107" s="338"/>
      <c r="L107" s="487"/>
      <c r="M107" s="487"/>
      <c r="N107" s="567"/>
      <c r="Q107" s="802"/>
    </row>
    <row r="108" spans="1:17" ht="12" customHeight="1">
      <c r="A108" s="163"/>
      <c r="B108" s="339"/>
      <c r="C108" s="340"/>
      <c r="D108" s="340"/>
      <c r="E108" s="340"/>
      <c r="F108" s="340"/>
      <c r="G108" s="340"/>
      <c r="H108" s="150"/>
      <c r="I108" s="341">
        <v>602.90020000000004</v>
      </c>
      <c r="J108" s="342" t="s">
        <v>392</v>
      </c>
      <c r="K108" s="344"/>
      <c r="L108" s="474"/>
      <c r="M108" s="474"/>
      <c r="N108" s="567"/>
      <c r="Q108" s="802"/>
    </row>
    <row r="109" spans="1:17" ht="12" customHeight="1">
      <c r="A109" s="163"/>
      <c r="B109" s="339"/>
      <c r="C109" s="340"/>
      <c r="D109" s="340"/>
      <c r="E109" s="340"/>
      <c r="F109" s="340"/>
      <c r="G109" s="340"/>
      <c r="H109" s="150"/>
      <c r="I109" s="341">
        <v>602.90030000000002</v>
      </c>
      <c r="J109" s="342" t="s">
        <v>391</v>
      </c>
      <c r="K109" s="344"/>
      <c r="L109" s="474"/>
      <c r="M109" s="474"/>
      <c r="N109" s="567"/>
      <c r="Q109" s="802"/>
    </row>
    <row r="110" spans="1:17" ht="12" customHeight="1">
      <c r="A110" s="163"/>
      <c r="B110" s="339"/>
      <c r="C110" s="340"/>
      <c r="D110" s="340"/>
      <c r="E110" s="340"/>
      <c r="F110" s="340"/>
      <c r="G110" s="340"/>
      <c r="H110" s="150"/>
      <c r="I110" s="341">
        <v>602.90039999999999</v>
      </c>
      <c r="J110" s="342" t="s">
        <v>393</v>
      </c>
      <c r="K110" s="344"/>
      <c r="L110" s="474"/>
      <c r="M110" s="474"/>
      <c r="N110" s="567"/>
      <c r="Q110" s="802"/>
    </row>
    <row r="111" spans="1:17" ht="12" customHeight="1">
      <c r="A111" s="163"/>
      <c r="B111" s="339"/>
      <c r="C111" s="340"/>
      <c r="D111" s="340"/>
      <c r="E111" s="340"/>
      <c r="F111" s="340"/>
      <c r="G111" s="340"/>
      <c r="H111" s="150"/>
      <c r="I111" s="341">
        <v>602.90049999999997</v>
      </c>
      <c r="J111" s="342" t="s">
        <v>394</v>
      </c>
      <c r="K111" s="344"/>
      <c r="L111" s="474"/>
      <c r="M111" s="474"/>
      <c r="N111" s="567"/>
      <c r="Q111" s="802"/>
    </row>
    <row r="112" spans="1:17" ht="12" customHeight="1">
      <c r="A112" s="163"/>
      <c r="B112" s="339"/>
      <c r="C112" s="340"/>
      <c r="D112" s="340"/>
      <c r="E112" s="340"/>
      <c r="F112" s="340"/>
      <c r="G112" s="340"/>
      <c r="H112" s="150"/>
      <c r="I112" s="341">
        <v>602.90060000000005</v>
      </c>
      <c r="J112" s="342" t="s">
        <v>395</v>
      </c>
      <c r="K112" s="344"/>
      <c r="L112" s="474"/>
      <c r="M112" s="474"/>
      <c r="N112" s="567"/>
      <c r="Q112" s="802"/>
    </row>
    <row r="113" spans="1:21" ht="12" customHeight="1">
      <c r="A113" s="163"/>
      <c r="B113" s="339"/>
      <c r="C113" s="340"/>
      <c r="D113" s="340"/>
      <c r="E113" s="340"/>
      <c r="F113" s="340"/>
      <c r="G113" s="340"/>
      <c r="H113" s="150"/>
      <c r="I113" s="341">
        <v>602.90070000000003</v>
      </c>
      <c r="J113" s="342" t="s">
        <v>396</v>
      </c>
      <c r="K113" s="343"/>
      <c r="L113" s="470"/>
      <c r="M113" s="470"/>
      <c r="N113" s="565"/>
      <c r="Q113" s="800"/>
    </row>
    <row r="114" spans="1:21" ht="12" customHeight="1">
      <c r="A114" s="163"/>
      <c r="B114" s="339"/>
      <c r="C114" s="340"/>
      <c r="D114" s="340"/>
      <c r="E114" s="340"/>
      <c r="F114" s="340"/>
      <c r="G114" s="340"/>
      <c r="H114" s="150"/>
      <c r="I114" s="341">
        <v>602.90080000000103</v>
      </c>
      <c r="J114" s="342" t="s">
        <v>397</v>
      </c>
      <c r="K114" s="344"/>
      <c r="L114" s="474"/>
      <c r="M114" s="474"/>
      <c r="N114" s="567"/>
      <c r="Q114" s="802"/>
    </row>
    <row r="115" spans="1:21" ht="12" customHeight="1" thickBot="1">
      <c r="A115" s="163"/>
      <c r="B115" s="345"/>
      <c r="C115" s="346"/>
      <c r="D115" s="346"/>
      <c r="E115" s="346"/>
      <c r="F115" s="346"/>
      <c r="G115" s="346"/>
      <c r="H115" s="164"/>
      <c r="I115" s="347">
        <v>602.900900000001</v>
      </c>
      <c r="J115" s="348" t="s">
        <v>398</v>
      </c>
      <c r="K115" s="350"/>
      <c r="L115" s="480"/>
      <c r="M115" s="480"/>
      <c r="N115" s="794"/>
      <c r="P115" s="718">
        <v>17</v>
      </c>
      <c r="Q115" s="802"/>
    </row>
    <row r="116" spans="1:21" ht="12.75" customHeight="1" thickBot="1">
      <c r="A116" s="163"/>
      <c r="B116" s="732"/>
      <c r="C116" s="733"/>
      <c r="D116" s="733"/>
      <c r="E116" s="733"/>
      <c r="F116" s="733"/>
      <c r="G116" s="776"/>
      <c r="H116" s="777">
        <v>606</v>
      </c>
      <c r="I116" s="735">
        <v>606.91</v>
      </c>
      <c r="J116" s="736" t="s">
        <v>406</v>
      </c>
      <c r="K116" s="737"/>
      <c r="L116" s="725"/>
      <c r="M116" s="725"/>
      <c r="N116" s="725"/>
      <c r="Q116" s="802"/>
    </row>
    <row r="117" spans="1:21" ht="13.5" customHeight="1" thickBot="1">
      <c r="A117" s="163"/>
      <c r="B117" s="385"/>
      <c r="C117" s="386"/>
      <c r="D117" s="386"/>
      <c r="E117" s="692">
        <v>6</v>
      </c>
      <c r="F117" s="386"/>
      <c r="G117" s="778">
        <v>10430</v>
      </c>
      <c r="H117" s="779">
        <v>231</v>
      </c>
      <c r="I117" s="390"/>
      <c r="J117" s="391" t="s">
        <v>435</v>
      </c>
      <c r="K117" s="388">
        <v>8000</v>
      </c>
      <c r="L117" s="388"/>
      <c r="M117" s="388"/>
      <c r="N117" s="388"/>
      <c r="Q117" s="380"/>
    </row>
    <row r="118" spans="1:21" ht="12" customHeight="1">
      <c r="A118" s="163"/>
      <c r="B118" s="5"/>
      <c r="C118" s="163"/>
      <c r="D118" s="163"/>
      <c r="E118" s="741"/>
      <c r="F118" s="163"/>
      <c r="G118" s="742"/>
      <c r="H118" s="743"/>
      <c r="I118" s="163"/>
      <c r="J118" s="744"/>
      <c r="K118" s="380"/>
      <c r="L118" s="380"/>
      <c r="M118" s="380"/>
      <c r="N118" s="380"/>
      <c r="R118" s="380"/>
    </row>
    <row r="119" spans="1:21" ht="12.75" customHeight="1">
      <c r="A119" s="163"/>
      <c r="B119" s="224"/>
      <c r="C119" s="703" t="s">
        <v>401</v>
      </c>
      <c r="D119" s="163"/>
      <c r="E119" s="163"/>
      <c r="F119" s="163"/>
      <c r="G119" s="163"/>
      <c r="H119" s="163"/>
      <c r="I119" s="163"/>
      <c r="J119" s="379"/>
      <c r="K119" s="380"/>
      <c r="L119" s="488"/>
      <c r="M119" s="488"/>
      <c r="N119" s="488"/>
    </row>
    <row r="120" spans="1:21" ht="12.75" customHeight="1">
      <c r="A120" s="163"/>
      <c r="B120" s="224"/>
      <c r="C120" s="703" t="s">
        <v>433</v>
      </c>
      <c r="D120" s="163"/>
      <c r="E120" s="163"/>
      <c r="F120" s="163"/>
      <c r="G120" s="163"/>
      <c r="H120" s="163"/>
      <c r="I120" s="163"/>
      <c r="J120" s="379"/>
      <c r="K120" s="382"/>
      <c r="L120" s="490"/>
      <c r="M120" s="490"/>
      <c r="N120" s="490"/>
    </row>
    <row r="121" spans="1:21" ht="13.5" customHeight="1">
      <c r="A121" s="163"/>
      <c r="B121" s="224"/>
      <c r="C121" s="163"/>
      <c r="D121" s="383" t="s">
        <v>402</v>
      </c>
      <c r="E121" s="383"/>
      <c r="F121" s="383"/>
      <c r="G121" s="383"/>
      <c r="H121" s="163"/>
      <c r="J121" s="384" t="s">
        <v>411</v>
      </c>
      <c r="K121" s="488"/>
      <c r="L121" s="488"/>
      <c r="M121" s="488"/>
      <c r="N121" s="149"/>
    </row>
    <row r="122" spans="1:21">
      <c r="A122" s="163"/>
      <c r="B122" s="224"/>
      <c r="C122" s="163"/>
      <c r="D122" s="704" t="s">
        <v>439</v>
      </c>
      <c r="E122" s="383"/>
      <c r="F122" s="383"/>
      <c r="G122" s="383"/>
      <c r="H122" s="383"/>
      <c r="I122" s="383"/>
      <c r="J122" s="149"/>
      <c r="K122" s="702" t="s">
        <v>440</v>
      </c>
      <c r="L122" s="489"/>
      <c r="M122" s="489"/>
      <c r="N122" s="149"/>
      <c r="O122" s="220"/>
      <c r="P122" s="220"/>
      <c r="Q122" s="220"/>
      <c r="R122" s="220"/>
      <c r="S122" s="220"/>
      <c r="T122" s="220"/>
      <c r="U122" s="220"/>
    </row>
    <row r="123" spans="1:21">
      <c r="A123" s="163"/>
      <c r="B123" s="224"/>
      <c r="C123" s="163"/>
      <c r="D123" s="71"/>
      <c r="E123" s="383"/>
      <c r="F123" s="383"/>
      <c r="G123" s="383"/>
      <c r="H123" s="383"/>
      <c r="I123" s="383"/>
      <c r="J123" s="383"/>
      <c r="K123" s="398"/>
      <c r="L123" s="489"/>
      <c r="M123" s="489"/>
      <c r="N123" s="489"/>
      <c r="O123" s="223"/>
      <c r="P123" s="223"/>
      <c r="Q123" s="223"/>
      <c r="R123" s="223"/>
      <c r="S123" s="223"/>
      <c r="T123" s="223"/>
      <c r="U123" s="223"/>
    </row>
    <row r="124" spans="1:21" ht="3" customHeight="1">
      <c r="A124" s="163"/>
      <c r="B124" s="163"/>
      <c r="C124" s="210"/>
      <c r="D124" s="210"/>
      <c r="E124" s="210"/>
      <c r="F124" s="210"/>
      <c r="G124" s="210"/>
      <c r="H124" s="211"/>
      <c r="I124" s="211"/>
      <c r="J124" s="211"/>
      <c r="K124" s="211"/>
      <c r="L124" s="212"/>
      <c r="M124" s="212"/>
      <c r="N124" s="489"/>
      <c r="O124" s="223"/>
      <c r="P124" s="223"/>
      <c r="Q124" s="223"/>
      <c r="R124" s="223"/>
      <c r="S124" s="223"/>
      <c r="T124" s="223"/>
      <c r="U124" s="223"/>
    </row>
    <row r="125" spans="1:21">
      <c r="A125" s="163"/>
      <c r="B125" s="163"/>
      <c r="C125" s="210"/>
      <c r="D125" s="210"/>
      <c r="E125" s="210"/>
      <c r="F125" s="210"/>
      <c r="G125" s="210"/>
      <c r="H125" s="211"/>
      <c r="I125" s="211"/>
      <c r="J125" s="211"/>
      <c r="K125" s="211"/>
      <c r="L125" s="212"/>
      <c r="M125" s="212"/>
      <c r="N125" s="489"/>
      <c r="O125" s="223"/>
      <c r="P125" s="223"/>
      <c r="Q125" s="223"/>
      <c r="R125" s="223"/>
      <c r="S125" s="223"/>
      <c r="T125" s="223"/>
      <c r="U125" s="223"/>
    </row>
    <row r="126" spans="1:21" ht="15">
      <c r="B126" s="163"/>
      <c r="C126" s="210"/>
      <c r="D126" s="210"/>
      <c r="E126" s="210"/>
      <c r="F126" s="210"/>
      <c r="G126" s="210"/>
      <c r="H126" s="210"/>
      <c r="I126" s="213"/>
      <c r="J126" s="681"/>
      <c r="K126" s="215"/>
      <c r="L126" s="210"/>
      <c r="M126" s="210"/>
      <c r="N126" s="683"/>
    </row>
    <row r="127" spans="1:21" ht="15">
      <c r="B127" s="216"/>
      <c r="C127" s="217"/>
      <c r="D127" s="217"/>
      <c r="E127" s="218"/>
      <c r="F127" s="218"/>
      <c r="G127" s="218"/>
      <c r="H127" s="218"/>
      <c r="I127" s="218"/>
      <c r="J127" s="218"/>
      <c r="K127" s="217"/>
      <c r="L127" s="452"/>
      <c r="M127" s="452"/>
      <c r="N127" s="683"/>
    </row>
    <row r="128" spans="1:21" ht="15">
      <c r="B128" s="221"/>
      <c r="C128" s="218" t="s">
        <v>301</v>
      </c>
      <c r="D128" s="218"/>
      <c r="E128" s="218"/>
      <c r="F128" s="218"/>
      <c r="G128" s="218"/>
      <c r="H128" s="218"/>
      <c r="I128" s="218"/>
      <c r="J128" s="223"/>
      <c r="K128" s="218"/>
      <c r="L128" s="453"/>
      <c r="M128" s="453"/>
      <c r="N128" s="683"/>
    </row>
    <row r="129" spans="1:21" ht="15">
      <c r="B129" s="221"/>
      <c r="C129" s="218" t="s">
        <v>415</v>
      </c>
      <c r="D129" s="218"/>
      <c r="E129" s="218"/>
      <c r="F129" s="223"/>
      <c r="G129" s="218"/>
      <c r="H129" s="218"/>
      <c r="I129" s="218"/>
      <c r="J129" s="218"/>
      <c r="K129" s="453"/>
      <c r="L129" s="223"/>
      <c r="M129" s="453"/>
      <c r="N129" s="683"/>
    </row>
    <row r="130" spans="1:21" ht="15">
      <c r="A130" s="163"/>
      <c r="B130" s="224"/>
      <c r="C130" s="224"/>
      <c r="E130" s="224"/>
      <c r="F130" s="224"/>
      <c r="G130" s="392" t="s">
        <v>416</v>
      </c>
      <c r="H130" s="224"/>
      <c r="I130" s="225"/>
      <c r="K130" s="224"/>
      <c r="L130" s="454"/>
      <c r="M130" s="454"/>
      <c r="N130" s="211"/>
    </row>
    <row r="131" spans="1:21" s="220" customFormat="1" ht="13.5" customHeight="1">
      <c r="A131" s="394"/>
      <c r="B131" s="5"/>
      <c r="C131" s="383" t="s">
        <v>300</v>
      </c>
      <c r="D131" s="226"/>
      <c r="E131" s="5"/>
      <c r="F131" s="163"/>
      <c r="G131" s="226"/>
      <c r="H131" s="214"/>
      <c r="I131" s="231"/>
      <c r="J131" s="232"/>
      <c r="K131" s="229" t="s">
        <v>413</v>
      </c>
      <c r="L131" s="455"/>
      <c r="M131" s="455"/>
      <c r="N131" s="452"/>
      <c r="O131" s="149"/>
      <c r="P131" s="149"/>
      <c r="Q131" s="149"/>
      <c r="R131" s="149"/>
      <c r="S131" s="149"/>
      <c r="T131" s="149"/>
      <c r="U131" s="149"/>
    </row>
    <row r="132" spans="1:21" s="223" customFormat="1" ht="14.25">
      <c r="A132" s="395"/>
      <c r="B132" s="233"/>
      <c r="C132" s="233"/>
      <c r="D132" s="237"/>
      <c r="E132" s="233"/>
      <c r="F132" s="233"/>
      <c r="G132" s="234"/>
      <c r="H132" s="235"/>
      <c r="I132" s="233"/>
      <c r="J132" s="236" t="s">
        <v>423</v>
      </c>
      <c r="K132" s="238"/>
      <c r="L132" s="456"/>
      <c r="M132" s="456"/>
      <c r="N132" s="453"/>
      <c r="O132" s="247"/>
      <c r="P132" s="247"/>
      <c r="Q132" s="247"/>
      <c r="R132" s="247"/>
      <c r="S132" s="247"/>
      <c r="T132" s="247"/>
      <c r="U132" s="247"/>
    </row>
    <row r="133" spans="1:21" ht="13.5" customHeight="1" thickBot="1">
      <c r="A133" s="163"/>
      <c r="B133" s="239"/>
      <c r="C133" s="233"/>
      <c r="D133" s="233"/>
      <c r="E133" s="235"/>
      <c r="F133" s="235"/>
      <c r="G133" s="235"/>
      <c r="H133" s="235"/>
      <c r="I133" s="235"/>
      <c r="J133" s="686" t="s">
        <v>472</v>
      </c>
      <c r="K133" s="240"/>
      <c r="L133" s="457"/>
      <c r="N133" s="210"/>
      <c r="O133" s="247"/>
      <c r="P133" s="247"/>
      <c r="Q133" s="247"/>
      <c r="R133" s="247"/>
      <c r="S133" s="247"/>
      <c r="T133" s="247"/>
      <c r="U133" s="247"/>
    </row>
    <row r="134" spans="1:21" ht="56.25" customHeight="1" thickBot="1">
      <c r="A134" s="163"/>
      <c r="B134" s="689" t="s">
        <v>137</v>
      </c>
      <c r="C134" s="690" t="s">
        <v>138</v>
      </c>
      <c r="D134" s="689" t="s">
        <v>139</v>
      </c>
      <c r="E134" s="689" t="s">
        <v>140</v>
      </c>
      <c r="F134" s="689" t="s">
        <v>141</v>
      </c>
      <c r="G134" s="689" t="s">
        <v>142</v>
      </c>
      <c r="H134" s="691" t="s">
        <v>126</v>
      </c>
      <c r="I134" s="689" t="s">
        <v>143</v>
      </c>
      <c r="J134" s="684" t="s">
        <v>304</v>
      </c>
      <c r="K134" s="245" t="s">
        <v>434</v>
      </c>
      <c r="L134" s="458" t="s">
        <v>292</v>
      </c>
      <c r="M134" s="685" t="s">
        <v>305</v>
      </c>
      <c r="N134" s="826"/>
      <c r="O134" s="609"/>
      <c r="P134" s="827"/>
      <c r="Q134" s="247"/>
      <c r="R134" s="247"/>
      <c r="S134" s="247"/>
      <c r="T134" s="247"/>
      <c r="U134" s="247"/>
    </row>
    <row r="135" spans="1:21" ht="15" customHeight="1" thickBot="1">
      <c r="A135" s="163"/>
      <c r="B135" s="248" t="s">
        <v>148</v>
      </c>
      <c r="C135" s="249">
        <v>25</v>
      </c>
      <c r="D135" s="517" t="s">
        <v>267</v>
      </c>
      <c r="E135" s="250">
        <v>1</v>
      </c>
      <c r="F135" s="250">
        <v>1111</v>
      </c>
      <c r="G135" s="694">
        <v>10430</v>
      </c>
      <c r="H135" s="251"/>
      <c r="I135" s="252"/>
      <c r="J135" s="687" t="s">
        <v>308</v>
      </c>
      <c r="K135" s="254">
        <f>SUM(K136+K137+K138+K139)</f>
        <v>0</v>
      </c>
      <c r="L135" s="459">
        <f>SUM(L136+L137+L138+L139)</f>
        <v>0</v>
      </c>
      <c r="M135" s="459"/>
      <c r="N135" s="826"/>
      <c r="O135" s="609"/>
      <c r="P135" s="827"/>
      <c r="Q135" s="247"/>
      <c r="R135" s="247"/>
      <c r="S135" s="247"/>
      <c r="T135" s="247"/>
      <c r="U135" s="247"/>
    </row>
    <row r="136" spans="1:21" ht="12.95" customHeight="1">
      <c r="A136" s="163"/>
      <c r="B136" s="255"/>
      <c r="C136" s="256"/>
      <c r="D136" s="256"/>
      <c r="E136" s="256">
        <v>1</v>
      </c>
      <c r="F136" s="256"/>
      <c r="G136" s="256"/>
      <c r="H136" s="257"/>
      <c r="I136" s="258"/>
      <c r="J136" s="259" t="s">
        <v>309</v>
      </c>
      <c r="K136" s="260"/>
      <c r="L136" s="460"/>
      <c r="M136" s="460"/>
      <c r="N136" s="826"/>
      <c r="O136" s="609"/>
      <c r="P136" s="609"/>
      <c r="Q136" s="247"/>
      <c r="R136" s="247"/>
      <c r="S136" s="247"/>
      <c r="T136" s="247"/>
      <c r="U136" s="247"/>
    </row>
    <row r="137" spans="1:21" ht="12.95" customHeight="1">
      <c r="A137" s="163"/>
      <c r="B137" s="262"/>
      <c r="C137" s="263"/>
      <c r="D137" s="263"/>
      <c r="E137" s="263">
        <v>5</v>
      </c>
      <c r="F137" s="263"/>
      <c r="G137" s="263"/>
      <c r="H137" s="264"/>
      <c r="I137" s="265"/>
      <c r="J137" s="266" t="s">
        <v>310</v>
      </c>
      <c r="K137" s="267"/>
      <c r="L137" s="461"/>
      <c r="M137" s="461"/>
      <c r="N137" s="828"/>
      <c r="O137" s="609"/>
      <c r="P137" s="827"/>
      <c r="Q137" s="247"/>
      <c r="R137" s="247"/>
      <c r="S137" s="247"/>
      <c r="T137" s="247"/>
      <c r="U137" s="247"/>
    </row>
    <row r="138" spans="1:21" ht="12.95" customHeight="1">
      <c r="A138" s="163"/>
      <c r="B138" s="262"/>
      <c r="C138" s="263"/>
      <c r="D138" s="263"/>
      <c r="E138" s="263">
        <v>5</v>
      </c>
      <c r="F138" s="263"/>
      <c r="G138" s="263"/>
      <c r="H138" s="264"/>
      <c r="I138" s="265"/>
      <c r="J138" s="266" t="s">
        <v>311</v>
      </c>
      <c r="K138" s="267"/>
      <c r="L138" s="461"/>
      <c r="M138" s="461"/>
      <c r="N138" s="457"/>
      <c r="O138" s="609"/>
      <c r="P138" s="247"/>
      <c r="Q138" s="247"/>
      <c r="R138" s="247"/>
      <c r="S138" s="247"/>
      <c r="T138" s="247"/>
      <c r="U138" s="247"/>
    </row>
    <row r="139" spans="1:21" s="247" customFormat="1" ht="12.95" customHeight="1" thickBot="1">
      <c r="A139" s="396"/>
      <c r="B139" s="269"/>
      <c r="C139" s="270"/>
      <c r="D139" s="270"/>
      <c r="E139" s="270">
        <v>6</v>
      </c>
      <c r="F139" s="270"/>
      <c r="G139" s="270"/>
      <c r="H139" s="271"/>
      <c r="I139" s="272"/>
      <c r="J139" s="273" t="s">
        <v>312</v>
      </c>
      <c r="K139" s="274"/>
      <c r="L139" s="462"/>
      <c r="M139" s="462"/>
      <c r="N139" s="829"/>
      <c r="S139" s="286"/>
      <c r="T139" s="209"/>
      <c r="U139" s="209"/>
    </row>
    <row r="140" spans="1:21" s="247" customFormat="1" ht="15" customHeight="1" thickBot="1">
      <c r="A140" s="396"/>
      <c r="B140" s="276"/>
      <c r="C140" s="277"/>
      <c r="D140" s="277"/>
      <c r="E140" s="277"/>
      <c r="F140" s="277"/>
      <c r="G140" s="277"/>
      <c r="H140" s="277"/>
      <c r="I140" s="278"/>
      <c r="J140" s="688" t="s">
        <v>313</v>
      </c>
      <c r="K140" s="740">
        <f>SUM(K141+K156+K159+K238+K239)</f>
        <v>76360</v>
      </c>
      <c r="L140" s="574">
        <f>SUM(L141+L156+L159+L238+L239)</f>
        <v>19672</v>
      </c>
      <c r="M140" s="574">
        <f>SUM(M141+M156+M159+M238+M239)</f>
        <v>14605610</v>
      </c>
      <c r="N140" s="831"/>
      <c r="O140" s="298"/>
    </row>
    <row r="141" spans="1:21" s="247" customFormat="1" ht="15" customHeight="1" thickBot="1">
      <c r="A141" s="396"/>
      <c r="B141" s="280"/>
      <c r="C141" s="281"/>
      <c r="D141" s="281"/>
      <c r="E141" s="281"/>
      <c r="F141" s="281"/>
      <c r="G141" s="281"/>
      <c r="H141" s="693">
        <v>600</v>
      </c>
      <c r="I141" s="283"/>
      <c r="J141" s="284" t="s">
        <v>314</v>
      </c>
      <c r="K141" s="285">
        <f>SUM(K142+K143+K144+K145+K146+K147+K148+K149+K150+K151+K152+K153+K154+K155)</f>
        <v>41700</v>
      </c>
      <c r="L141" s="285">
        <f>L142+L152+L155</f>
        <v>8562</v>
      </c>
      <c r="M141" s="719">
        <f>M142+M152+M155</f>
        <v>6387501</v>
      </c>
      <c r="N141" s="832"/>
      <c r="O141" s="298"/>
    </row>
    <row r="142" spans="1:21" s="247" customFormat="1" ht="15" customHeight="1">
      <c r="A142" s="396"/>
      <c r="B142" s="287"/>
      <c r="C142" s="288"/>
      <c r="D142" s="288"/>
      <c r="E142" s="288"/>
      <c r="F142" s="288"/>
      <c r="G142" s="288"/>
      <c r="H142" s="289"/>
      <c r="I142" s="290">
        <v>600.1</v>
      </c>
      <c r="J142" s="696" t="s">
        <v>315</v>
      </c>
      <c r="K142" s="817">
        <v>41700</v>
      </c>
      <c r="L142" s="747">
        <v>8562</v>
      </c>
      <c r="M142" s="720">
        <f>SUM(M143:M147)</f>
        <v>6311125</v>
      </c>
      <c r="N142" s="832"/>
      <c r="O142" s="298"/>
    </row>
    <row r="143" spans="1:21" s="247" customFormat="1" ht="15" customHeight="1">
      <c r="A143" s="396"/>
      <c r="B143" s="292"/>
      <c r="C143" s="293"/>
      <c r="D143" s="293"/>
      <c r="E143" s="293"/>
      <c r="F143" s="293"/>
      <c r="G143" s="293"/>
      <c r="H143" s="294"/>
      <c r="I143" s="295">
        <v>600.1001</v>
      </c>
      <c r="J143" s="697" t="s">
        <v>316</v>
      </c>
      <c r="K143" s="297"/>
      <c r="L143" s="782"/>
      <c r="M143" s="818">
        <v>4419540</v>
      </c>
      <c r="N143" s="832"/>
      <c r="O143" s="286">
        <f>M143+P143</f>
        <v>6748030</v>
      </c>
      <c r="P143" s="247">
        <v>2328490</v>
      </c>
      <c r="Q143" s="298"/>
    </row>
    <row r="144" spans="1:21" s="247" customFormat="1" ht="15" customHeight="1">
      <c r="A144" s="396"/>
      <c r="B144" s="292"/>
      <c r="C144" s="293"/>
      <c r="D144" s="293"/>
      <c r="E144" s="293"/>
      <c r="F144" s="293"/>
      <c r="G144" s="293"/>
      <c r="H144" s="294"/>
      <c r="I144" s="295">
        <v>600.10019999999997</v>
      </c>
      <c r="J144" s="697" t="s">
        <v>317</v>
      </c>
      <c r="K144" s="297"/>
      <c r="L144" s="782"/>
      <c r="M144" s="818">
        <v>14978</v>
      </c>
      <c r="N144" s="832"/>
      <c r="O144" s="286">
        <f>M144+P144</f>
        <v>14978</v>
      </c>
    </row>
    <row r="145" spans="1:21" s="247" customFormat="1" ht="18" customHeight="1">
      <c r="A145" s="396"/>
      <c r="B145" s="292"/>
      <c r="C145" s="293"/>
      <c r="D145" s="293"/>
      <c r="E145" s="293"/>
      <c r="F145" s="293"/>
      <c r="G145" s="293"/>
      <c r="H145" s="294"/>
      <c r="I145" s="295">
        <v>600.10029999999995</v>
      </c>
      <c r="J145" s="697" t="s">
        <v>318</v>
      </c>
      <c r="K145" s="297"/>
      <c r="L145" s="782"/>
      <c r="M145" s="818">
        <v>411682</v>
      </c>
      <c r="N145" s="833"/>
      <c r="O145" s="286">
        <f>M145+P145</f>
        <v>579906</v>
      </c>
      <c r="P145" s="247">
        <v>168224</v>
      </c>
    </row>
    <row r="146" spans="1:21" s="209" customFormat="1">
      <c r="A146" s="383"/>
      <c r="B146" s="292"/>
      <c r="C146" s="293"/>
      <c r="D146" s="293"/>
      <c r="E146" s="293"/>
      <c r="F146" s="293"/>
      <c r="G146" s="293"/>
      <c r="H146" s="294"/>
      <c r="I146" s="295">
        <v>600.10050000000001</v>
      </c>
      <c r="J146" s="697" t="s">
        <v>319</v>
      </c>
      <c r="K146" s="297"/>
      <c r="L146" s="782"/>
      <c r="M146" s="818">
        <v>1389442</v>
      </c>
      <c r="N146" s="834"/>
      <c r="O146" s="298">
        <f>M146+P146</f>
        <v>1984624</v>
      </c>
      <c r="P146" s="247">
        <v>595182</v>
      </c>
      <c r="Q146" s="247"/>
      <c r="R146" s="247"/>
      <c r="S146" s="247"/>
      <c r="T146" s="247"/>
      <c r="U146" s="247"/>
    </row>
    <row r="147" spans="1:21" s="247" customFormat="1">
      <c r="A147" s="396"/>
      <c r="B147" s="292"/>
      <c r="C147" s="293"/>
      <c r="D147" s="293"/>
      <c r="E147" s="293"/>
      <c r="F147" s="293"/>
      <c r="G147" s="293"/>
      <c r="H147" s="294"/>
      <c r="I147" s="295"/>
      <c r="J147" s="697" t="s">
        <v>326</v>
      </c>
      <c r="K147" s="297"/>
      <c r="L147" s="766"/>
      <c r="M147" s="818">
        <v>75483</v>
      </c>
      <c r="N147" s="749"/>
      <c r="O147" s="298">
        <f>M147+P147</f>
        <v>133901</v>
      </c>
      <c r="P147" s="247">
        <v>58418</v>
      </c>
    </row>
    <row r="148" spans="1:21" s="247" customFormat="1">
      <c r="A148" s="396"/>
      <c r="B148" s="299"/>
      <c r="C148" s="293"/>
      <c r="D148" s="293"/>
      <c r="E148" s="293"/>
      <c r="F148" s="293"/>
      <c r="G148" s="293"/>
      <c r="H148" s="294"/>
      <c r="I148" s="295">
        <v>600.20000000000005</v>
      </c>
      <c r="J148" s="697" t="s">
        <v>320</v>
      </c>
      <c r="K148" s="297"/>
      <c r="L148" s="815"/>
      <c r="M148" s="464"/>
      <c r="N148" s="749"/>
      <c r="O148" s="298"/>
    </row>
    <row r="149" spans="1:21" s="247" customFormat="1">
      <c r="A149" s="396"/>
      <c r="B149" s="299"/>
      <c r="C149" s="293"/>
      <c r="D149" s="293"/>
      <c r="E149" s="293"/>
      <c r="F149" s="293"/>
      <c r="G149" s="293"/>
      <c r="H149" s="294"/>
      <c r="I149" s="295">
        <v>600.21</v>
      </c>
      <c r="J149" s="697" t="s">
        <v>321</v>
      </c>
      <c r="K149" s="297"/>
      <c r="L149" s="464"/>
      <c r="M149" s="464"/>
      <c r="N149" s="749"/>
      <c r="O149" s="298"/>
    </row>
    <row r="150" spans="1:21" s="247" customFormat="1">
      <c r="A150" s="396"/>
      <c r="B150" s="299"/>
      <c r="C150" s="293"/>
      <c r="D150" s="293"/>
      <c r="E150" s="293"/>
      <c r="F150" s="293"/>
      <c r="G150" s="293"/>
      <c r="H150" s="294"/>
      <c r="I150" s="295">
        <v>600.22</v>
      </c>
      <c r="J150" s="697" t="s">
        <v>322</v>
      </c>
      <c r="K150" s="297"/>
      <c r="L150" s="464"/>
      <c r="M150" s="464"/>
      <c r="N150" s="749"/>
      <c r="O150" s="298"/>
    </row>
    <row r="151" spans="1:21" s="247" customFormat="1">
      <c r="A151" s="396"/>
      <c r="B151" s="299"/>
      <c r="C151" s="293"/>
      <c r="D151" s="293"/>
      <c r="E151" s="293"/>
      <c r="F151" s="293"/>
      <c r="G151" s="293"/>
      <c r="H151" s="294"/>
      <c r="I151" s="295">
        <v>600.29</v>
      </c>
      <c r="J151" s="697" t="s">
        <v>323</v>
      </c>
      <c r="K151" s="297"/>
      <c r="L151" s="464"/>
      <c r="M151" s="464"/>
      <c r="N151" s="749"/>
      <c r="O151" s="298"/>
    </row>
    <row r="152" spans="1:21" s="247" customFormat="1">
      <c r="A152" s="396"/>
      <c r="B152" s="299"/>
      <c r="C152" s="293"/>
      <c r="D152" s="293"/>
      <c r="E152" s="293"/>
      <c r="F152" s="293"/>
      <c r="G152" s="293"/>
      <c r="H152" s="294"/>
      <c r="I152" s="295">
        <v>600.29999999999995</v>
      </c>
      <c r="J152" s="697" t="s">
        <v>324</v>
      </c>
      <c r="K152" s="297"/>
      <c r="L152" s="464"/>
      <c r="M152" s="464">
        <v>49000</v>
      </c>
      <c r="N152" s="749"/>
    </row>
    <row r="153" spans="1:21" s="247" customFormat="1">
      <c r="A153" s="396"/>
      <c r="B153" s="299"/>
      <c r="C153" s="293"/>
      <c r="D153" s="293"/>
      <c r="E153" s="293"/>
      <c r="F153" s="293"/>
      <c r="G153" s="293"/>
      <c r="H153" s="294"/>
      <c r="I153" s="295">
        <v>600.30999999999995</v>
      </c>
      <c r="J153" s="697" t="s">
        <v>325</v>
      </c>
      <c r="K153" s="297"/>
      <c r="L153" s="464"/>
      <c r="M153" s="464"/>
      <c r="N153" s="749"/>
    </row>
    <row r="154" spans="1:21" s="247" customFormat="1">
      <c r="A154" s="396"/>
      <c r="B154" s="299"/>
      <c r="C154" s="293"/>
      <c r="D154" s="293"/>
      <c r="E154" s="293"/>
      <c r="F154" s="293"/>
      <c r="G154" s="293"/>
      <c r="H154" s="294"/>
      <c r="I154" s="295"/>
      <c r="J154" s="697" t="s">
        <v>323</v>
      </c>
      <c r="K154" s="297"/>
      <c r="L154" s="465"/>
      <c r="M154" s="465"/>
      <c r="N154" s="749"/>
      <c r="O154" s="298"/>
      <c r="S154" s="209"/>
      <c r="T154" s="209"/>
      <c r="U154" s="209"/>
    </row>
    <row r="155" spans="1:21" s="247" customFormat="1" ht="13.5" thickBot="1">
      <c r="A155" s="396"/>
      <c r="B155" s="300"/>
      <c r="C155" s="301"/>
      <c r="D155" s="301"/>
      <c r="E155" s="301"/>
      <c r="F155" s="301"/>
      <c r="G155" s="301"/>
      <c r="H155" s="302"/>
      <c r="I155" s="303">
        <v>600.9</v>
      </c>
      <c r="J155" s="304" t="s">
        <v>437</v>
      </c>
      <c r="K155" s="305"/>
      <c r="L155" s="810"/>
      <c r="M155" s="816">
        <v>27376</v>
      </c>
      <c r="N155" s="749"/>
    </row>
    <row r="156" spans="1:21" s="247" customFormat="1" ht="13.5" thickBot="1">
      <c r="A156" s="396"/>
      <c r="B156" s="280"/>
      <c r="C156" s="281"/>
      <c r="D156" s="281"/>
      <c r="E156" s="281"/>
      <c r="F156" s="281"/>
      <c r="G156" s="281"/>
      <c r="H156" s="693">
        <v>601</v>
      </c>
      <c r="I156" s="283"/>
      <c r="J156" s="284" t="s">
        <v>328</v>
      </c>
      <c r="K156" s="820">
        <v>6660</v>
      </c>
      <c r="L156" s="285">
        <f>SUM(L157:L158)</f>
        <v>1110</v>
      </c>
      <c r="M156" s="719">
        <f>SUM(M157+M158)</f>
        <v>1032340</v>
      </c>
      <c r="N156" s="749"/>
    </row>
    <row r="157" spans="1:21" s="247" customFormat="1">
      <c r="A157" s="396"/>
      <c r="B157" s="306"/>
      <c r="C157" s="307"/>
      <c r="D157" s="307"/>
      <c r="E157" s="307"/>
      <c r="F157" s="307"/>
      <c r="G157" s="307"/>
      <c r="H157" s="308"/>
      <c r="I157" s="309">
        <v>601.01</v>
      </c>
      <c r="J157" s="696" t="s">
        <v>329</v>
      </c>
      <c r="K157" s="821">
        <v>6660</v>
      </c>
      <c r="L157" s="817">
        <v>1110</v>
      </c>
      <c r="M157" s="819">
        <v>927251</v>
      </c>
      <c r="N157" s="749"/>
      <c r="O157" s="298">
        <v>457104</v>
      </c>
      <c r="P157" s="298">
        <f>M157+O157</f>
        <v>1384355</v>
      </c>
      <c r="S157" s="319"/>
      <c r="T157" s="319"/>
      <c r="U157" s="319"/>
    </row>
    <row r="158" spans="1:21" s="247" customFormat="1" ht="13.5" thickBot="1">
      <c r="A158" s="396"/>
      <c r="B158" s="300"/>
      <c r="C158" s="301"/>
      <c r="D158" s="301"/>
      <c r="E158" s="301"/>
      <c r="F158" s="301"/>
      <c r="G158" s="301"/>
      <c r="H158" s="302"/>
      <c r="I158" s="311">
        <v>601.11</v>
      </c>
      <c r="J158" s="698" t="s">
        <v>330</v>
      </c>
      <c r="K158" s="312"/>
      <c r="L158" s="467"/>
      <c r="M158" s="819">
        <v>105089</v>
      </c>
      <c r="N158" s="749"/>
      <c r="O158" s="149">
        <v>51806</v>
      </c>
      <c r="P158" s="298">
        <f>M158+O158</f>
        <v>156895</v>
      </c>
      <c r="S158" s="149"/>
      <c r="T158" s="149"/>
      <c r="U158" s="149"/>
    </row>
    <row r="159" spans="1:21" s="247" customFormat="1" ht="13.5" thickBot="1">
      <c r="A159" s="396"/>
      <c r="B159" s="313"/>
      <c r="C159" s="314"/>
      <c r="D159" s="314"/>
      <c r="E159" s="314"/>
      <c r="F159" s="314"/>
      <c r="G159" s="314"/>
      <c r="H159" s="693">
        <v>602</v>
      </c>
      <c r="I159" s="316"/>
      <c r="J159" s="284" t="s">
        <v>170</v>
      </c>
      <c r="K159" s="285">
        <f>SUM(K160+K167+K180+K195+K200+K203+K212+K218+K225+K228)</f>
        <v>20000</v>
      </c>
      <c r="L159" s="285">
        <f>SUM(L160+L167+L180+L195+L200+L203+L212+L218+L225+L228)</f>
        <v>10000</v>
      </c>
      <c r="M159" s="285">
        <f>SUM(M160+M167+M180+M195+M200+M203+M212+M218+M225+M228)</f>
        <v>7185769</v>
      </c>
      <c r="N159" s="836"/>
      <c r="O159" s="512"/>
      <c r="P159" s="512"/>
      <c r="Q159" s="513"/>
      <c r="R159" s="513"/>
      <c r="S159" s="512"/>
      <c r="T159" s="512"/>
      <c r="U159" s="149"/>
    </row>
    <row r="160" spans="1:21" s="247" customFormat="1" ht="13.5" thickBot="1">
      <c r="A160" s="396"/>
      <c r="B160" s="320"/>
      <c r="C160" s="321"/>
      <c r="D160" s="321"/>
      <c r="E160" s="321"/>
      <c r="F160" s="321"/>
      <c r="G160" s="321"/>
      <c r="H160" s="322"/>
      <c r="I160" s="323">
        <v>6020</v>
      </c>
      <c r="J160" s="324" t="s">
        <v>331</v>
      </c>
      <c r="K160" s="822">
        <v>20000</v>
      </c>
      <c r="L160" s="822">
        <v>10000</v>
      </c>
      <c r="M160" s="476">
        <f>SUM(M161+M162+M163+M164+M165+M166)</f>
        <v>784450</v>
      </c>
      <c r="N160" s="836"/>
      <c r="O160" s="149"/>
      <c r="S160" s="149"/>
      <c r="T160" s="149"/>
      <c r="U160" s="149"/>
    </row>
    <row r="161" spans="1:21" s="209" customFormat="1" ht="12.75" customHeight="1">
      <c r="A161" s="383"/>
      <c r="B161" s="332"/>
      <c r="C161" s="333"/>
      <c r="D161" s="333"/>
      <c r="E161" s="333"/>
      <c r="F161" s="333"/>
      <c r="G161" s="333"/>
      <c r="H161" s="334"/>
      <c r="I161" s="335" t="s">
        <v>11</v>
      </c>
      <c r="J161" s="336" t="s">
        <v>172</v>
      </c>
      <c r="K161" s="337"/>
      <c r="L161" s="469"/>
      <c r="M161" s="469">
        <v>383600</v>
      </c>
      <c r="N161" s="834"/>
      <c r="O161" s="149"/>
      <c r="P161" s="247"/>
      <c r="Q161" s="247"/>
      <c r="R161" s="247"/>
      <c r="S161" s="149"/>
      <c r="T161" s="149"/>
      <c r="U161" s="149"/>
    </row>
    <row r="162" spans="1:21" s="247" customFormat="1" ht="12.75" customHeight="1">
      <c r="A162" s="396"/>
      <c r="B162" s="352"/>
      <c r="C162" s="353"/>
      <c r="D162" s="353"/>
      <c r="E162" s="353"/>
      <c r="F162" s="353"/>
      <c r="G162" s="353"/>
      <c r="H162" s="354"/>
      <c r="I162" s="360">
        <v>602.02</v>
      </c>
      <c r="J162" s="361" t="s">
        <v>332</v>
      </c>
      <c r="K162" s="357"/>
      <c r="L162" s="473"/>
      <c r="M162" s="473"/>
      <c r="N162" s="749"/>
      <c r="O162" s="149"/>
      <c r="S162" s="149"/>
      <c r="T162" s="149"/>
      <c r="U162" s="149"/>
    </row>
    <row r="163" spans="1:21" s="247" customFormat="1" ht="12.75" customHeight="1">
      <c r="A163" s="396"/>
      <c r="B163" s="339"/>
      <c r="C163" s="340"/>
      <c r="D163" s="340"/>
      <c r="E163" s="340"/>
      <c r="F163" s="340"/>
      <c r="G163" s="340"/>
      <c r="H163" s="150"/>
      <c r="I163" s="341">
        <v>602.03</v>
      </c>
      <c r="J163" s="342" t="s">
        <v>467</v>
      </c>
      <c r="K163" s="343"/>
      <c r="L163" s="470"/>
      <c r="M163" s="470">
        <v>357000</v>
      </c>
      <c r="N163" s="749"/>
      <c r="O163" s="149"/>
      <c r="S163" s="149"/>
      <c r="T163" s="149"/>
      <c r="U163" s="149"/>
    </row>
    <row r="164" spans="1:21" s="319" customFormat="1" ht="12.75" customHeight="1">
      <c r="A164" s="397"/>
      <c r="B164" s="339"/>
      <c r="C164" s="340"/>
      <c r="D164" s="340"/>
      <c r="E164" s="340"/>
      <c r="F164" s="340"/>
      <c r="G164" s="340"/>
      <c r="H164" s="150"/>
      <c r="I164" s="341">
        <v>602.04</v>
      </c>
      <c r="J164" s="342" t="s">
        <v>334</v>
      </c>
      <c r="K164" s="343"/>
      <c r="L164" s="470"/>
      <c r="M164" s="470"/>
      <c r="N164" s="837"/>
      <c r="O164" s="149">
        <v>7185769</v>
      </c>
      <c r="P164" s="247"/>
      <c r="Q164" s="247"/>
      <c r="R164" s="247"/>
      <c r="S164" s="149"/>
      <c r="T164" s="149"/>
      <c r="U164" s="149"/>
    </row>
    <row r="165" spans="1:21" ht="12.75" customHeight="1">
      <c r="A165" s="163"/>
      <c r="B165" s="339"/>
      <c r="C165" s="340"/>
      <c r="D165" s="340"/>
      <c r="E165" s="340"/>
      <c r="F165" s="340"/>
      <c r="G165" s="340"/>
      <c r="H165" s="150"/>
      <c r="I165" s="341">
        <v>602.04999999999995</v>
      </c>
      <c r="J165" s="342" t="s">
        <v>176</v>
      </c>
      <c r="K165" s="343"/>
      <c r="L165" s="470"/>
      <c r="M165" s="470">
        <v>43850</v>
      </c>
      <c r="N165" s="838"/>
      <c r="P165" s="247"/>
      <c r="Q165" s="247"/>
      <c r="R165" s="247"/>
    </row>
    <row r="166" spans="1:21" ht="12.75" customHeight="1" thickBot="1">
      <c r="A166" s="163"/>
      <c r="B166" s="345"/>
      <c r="C166" s="346"/>
      <c r="D166" s="346"/>
      <c r="E166" s="346"/>
      <c r="F166" s="346"/>
      <c r="G166" s="346"/>
      <c r="H166" s="164"/>
      <c r="I166" s="347">
        <v>602.09</v>
      </c>
      <c r="J166" s="348" t="s">
        <v>335</v>
      </c>
      <c r="K166" s="349"/>
      <c r="L166" s="471"/>
      <c r="M166" s="471"/>
      <c r="N166" s="800"/>
      <c r="P166" s="247"/>
      <c r="Q166" s="247"/>
      <c r="R166" s="247"/>
    </row>
    <row r="167" spans="1:21" ht="12.75" customHeight="1" thickBot="1">
      <c r="A167" s="163"/>
      <c r="B167" s="320"/>
      <c r="C167" s="321"/>
      <c r="D167" s="321"/>
      <c r="E167" s="321"/>
      <c r="F167" s="321"/>
      <c r="G167" s="321"/>
      <c r="H167" s="322"/>
      <c r="I167" s="323">
        <v>602.1</v>
      </c>
      <c r="J167" s="324" t="s">
        <v>336</v>
      </c>
      <c r="K167" s="351">
        <f>SUM(K168+K169+K170+K171+K172+K173+K174+K175+K176+K177+K178+K179)</f>
        <v>0</v>
      </c>
      <c r="L167" s="472">
        <f>SUM(L168+L169+L170+L171+L172+L173+L174+L175+L176+L177+L178+L179)</f>
        <v>0</v>
      </c>
      <c r="M167" s="472">
        <f>SUM(M168+M169+M170+M171+M172+M173+M174+M175+M176+M177+M178+M179)</f>
        <v>788420</v>
      </c>
      <c r="N167" s="800"/>
      <c r="P167" s="247"/>
      <c r="Q167" s="247"/>
      <c r="R167" s="247"/>
    </row>
    <row r="168" spans="1:21" ht="12.75" customHeight="1">
      <c r="A168" s="163"/>
      <c r="B168" s="352"/>
      <c r="C168" s="353"/>
      <c r="D168" s="353"/>
      <c r="E168" s="353"/>
      <c r="F168" s="353"/>
      <c r="G168" s="353"/>
      <c r="H168" s="354"/>
      <c r="I168" s="355">
        <v>602.1001</v>
      </c>
      <c r="J168" s="699" t="s">
        <v>337</v>
      </c>
      <c r="K168" s="357"/>
      <c r="L168" s="473"/>
      <c r="M168" s="473"/>
      <c r="N168" s="800"/>
      <c r="O168" s="682">
        <f>M159-O164</f>
        <v>0</v>
      </c>
      <c r="P168" s="247"/>
      <c r="Q168" s="247"/>
      <c r="R168" s="247"/>
    </row>
    <row r="169" spans="1:21" ht="12.75" customHeight="1">
      <c r="A169" s="163"/>
      <c r="B169" s="339"/>
      <c r="C169" s="340"/>
      <c r="D169" s="340"/>
      <c r="E169" s="340"/>
      <c r="F169" s="340"/>
      <c r="G169" s="340"/>
      <c r="H169" s="150"/>
      <c r="I169" s="358">
        <v>602.10019999999997</v>
      </c>
      <c r="J169" s="700" t="s">
        <v>338</v>
      </c>
      <c r="K169" s="343"/>
      <c r="L169" s="470"/>
      <c r="M169" s="470"/>
      <c r="N169" s="800"/>
      <c r="P169" s="247"/>
      <c r="Q169" s="247"/>
      <c r="R169" s="247"/>
    </row>
    <row r="170" spans="1:21" ht="12.75" customHeight="1">
      <c r="A170" s="163"/>
      <c r="B170" s="339"/>
      <c r="C170" s="340"/>
      <c r="D170" s="340"/>
      <c r="E170" s="340"/>
      <c r="F170" s="340"/>
      <c r="G170" s="340"/>
      <c r="H170" s="150"/>
      <c r="I170" s="358">
        <v>602.10029999999995</v>
      </c>
      <c r="J170" s="700" t="s">
        <v>339</v>
      </c>
      <c r="K170" s="343"/>
      <c r="L170" s="470"/>
      <c r="M170" s="470"/>
      <c r="N170" s="800"/>
      <c r="P170" s="298"/>
      <c r="Q170" s="247"/>
      <c r="R170" s="247"/>
    </row>
    <row r="171" spans="1:21" ht="12.75" customHeight="1">
      <c r="A171" s="163"/>
      <c r="B171" s="339"/>
      <c r="C171" s="340"/>
      <c r="D171" s="340"/>
      <c r="E171" s="340"/>
      <c r="F171" s="340"/>
      <c r="G171" s="340"/>
      <c r="H171" s="150"/>
      <c r="I171" s="358">
        <v>602.10040000000004</v>
      </c>
      <c r="J171" s="700" t="s">
        <v>340</v>
      </c>
      <c r="K171" s="343"/>
      <c r="L171" s="470"/>
      <c r="M171" s="470"/>
      <c r="N171" s="800"/>
      <c r="P171" s="247"/>
      <c r="Q171" s="247"/>
      <c r="R171" s="247"/>
    </row>
    <row r="172" spans="1:21" ht="12.75" customHeight="1">
      <c r="A172" s="163"/>
      <c r="B172" s="339"/>
      <c r="C172" s="340"/>
      <c r="D172" s="340"/>
      <c r="E172" s="340"/>
      <c r="F172" s="340"/>
      <c r="G172" s="340"/>
      <c r="H172" s="150"/>
      <c r="I172" s="358">
        <v>602.10050000000001</v>
      </c>
      <c r="J172" s="700" t="s">
        <v>341</v>
      </c>
      <c r="K172" s="343"/>
      <c r="L172" s="470"/>
      <c r="M172" s="470"/>
      <c r="N172" s="801"/>
      <c r="P172" s="247"/>
      <c r="Q172" s="247"/>
      <c r="R172" s="247"/>
    </row>
    <row r="173" spans="1:21" ht="12.75" customHeight="1">
      <c r="A173" s="163"/>
      <c r="B173" s="339"/>
      <c r="C173" s="340"/>
      <c r="D173" s="340"/>
      <c r="E173" s="340"/>
      <c r="F173" s="340"/>
      <c r="G173" s="340"/>
      <c r="H173" s="150"/>
      <c r="I173" s="358">
        <v>602.10059999999999</v>
      </c>
      <c r="J173" s="700" t="s">
        <v>342</v>
      </c>
      <c r="K173" s="343"/>
      <c r="L173" s="470"/>
      <c r="M173" s="470"/>
      <c r="N173" s="800"/>
      <c r="P173" s="247"/>
      <c r="Q173" s="247"/>
      <c r="R173" s="247"/>
    </row>
    <row r="174" spans="1:21" ht="12.75" customHeight="1">
      <c r="A174" s="163"/>
      <c r="B174" s="339"/>
      <c r="C174" s="340"/>
      <c r="D174" s="340"/>
      <c r="E174" s="340"/>
      <c r="F174" s="340"/>
      <c r="G174" s="340"/>
      <c r="H174" s="150"/>
      <c r="I174" s="358">
        <v>602.10069999999996</v>
      </c>
      <c r="J174" s="700" t="s">
        <v>469</v>
      </c>
      <c r="K174" s="343"/>
      <c r="L174" s="470"/>
      <c r="M174" s="470">
        <v>395000</v>
      </c>
      <c r="N174" s="800"/>
      <c r="P174" s="247"/>
      <c r="Q174" s="247"/>
      <c r="R174" s="247"/>
    </row>
    <row r="175" spans="1:21" ht="12.75" customHeight="1">
      <c r="A175" s="163"/>
      <c r="B175" s="339"/>
      <c r="C175" s="340"/>
      <c r="D175" s="340"/>
      <c r="E175" s="340"/>
      <c r="F175" s="340"/>
      <c r="G175" s="340"/>
      <c r="H175" s="150"/>
      <c r="I175" s="358">
        <v>602.10080000000005</v>
      </c>
      <c r="J175" s="700" t="s">
        <v>343</v>
      </c>
      <c r="K175" s="343"/>
      <c r="L175" s="470"/>
      <c r="M175" s="470"/>
      <c r="N175" s="800"/>
      <c r="Q175" s="247"/>
      <c r="R175" s="247"/>
    </row>
    <row r="176" spans="1:21" ht="12.75" customHeight="1">
      <c r="A176" s="163"/>
      <c r="B176" s="339"/>
      <c r="C176" s="340"/>
      <c r="D176" s="340"/>
      <c r="E176" s="340"/>
      <c r="F176" s="340"/>
      <c r="G176" s="340"/>
      <c r="H176" s="150"/>
      <c r="I176" s="358">
        <v>602.10090000000002</v>
      </c>
      <c r="J176" s="700" t="s">
        <v>344</v>
      </c>
      <c r="K176" s="344"/>
      <c r="L176" s="474"/>
      <c r="M176" s="474"/>
      <c r="N176" s="800"/>
      <c r="Q176" s="247"/>
      <c r="R176" s="247"/>
    </row>
    <row r="177" spans="1:20" ht="12" customHeight="1">
      <c r="A177" s="163"/>
      <c r="B177" s="339"/>
      <c r="C177" s="340"/>
      <c r="D177" s="340"/>
      <c r="E177" s="340"/>
      <c r="F177" s="340"/>
      <c r="G177" s="340"/>
      <c r="H177" s="150"/>
      <c r="I177" s="358">
        <v>602.101</v>
      </c>
      <c r="J177" s="700" t="s">
        <v>345</v>
      </c>
      <c r="K177" s="344"/>
      <c r="L177" s="474"/>
      <c r="M177" s="474"/>
      <c r="N177" s="800"/>
      <c r="Q177" s="247"/>
      <c r="R177" s="247"/>
    </row>
    <row r="178" spans="1:20" ht="12" customHeight="1">
      <c r="A178" s="163"/>
      <c r="B178" s="339"/>
      <c r="C178" s="340"/>
      <c r="D178" s="340"/>
      <c r="E178" s="340"/>
      <c r="F178" s="340"/>
      <c r="G178" s="340"/>
      <c r="H178" s="150"/>
      <c r="I178" s="341">
        <v>602.10109999999997</v>
      </c>
      <c r="J178" s="700" t="s">
        <v>346</v>
      </c>
      <c r="K178" s="344"/>
      <c r="L178" s="474"/>
      <c r="M178" s="474"/>
      <c r="N178" s="800"/>
      <c r="Q178" s="247"/>
      <c r="R178" s="247"/>
    </row>
    <row r="179" spans="1:20" ht="12" customHeight="1" thickBot="1">
      <c r="A179" s="163"/>
      <c r="B179" s="367"/>
      <c r="C179" s="368"/>
      <c r="D179" s="368"/>
      <c r="E179" s="368"/>
      <c r="F179" s="368"/>
      <c r="G179" s="368"/>
      <c r="H179" s="369"/>
      <c r="I179" s="370">
        <v>602.10990000000004</v>
      </c>
      <c r="J179" s="701" t="s">
        <v>468</v>
      </c>
      <c r="K179" s="378"/>
      <c r="L179" s="475"/>
      <c r="M179" s="475">
        <v>393420</v>
      </c>
      <c r="N179" s="800"/>
      <c r="Q179" s="247"/>
      <c r="R179" s="247"/>
    </row>
    <row r="180" spans="1:20" ht="12" customHeight="1" thickBot="1">
      <c r="A180" s="163"/>
      <c r="B180" s="320"/>
      <c r="C180" s="321"/>
      <c r="D180" s="321"/>
      <c r="E180" s="321"/>
      <c r="F180" s="321"/>
      <c r="G180" s="321"/>
      <c r="H180" s="322"/>
      <c r="I180" s="323">
        <v>602.20000000000005</v>
      </c>
      <c r="J180" s="324" t="s">
        <v>348</v>
      </c>
      <c r="K180" s="351">
        <f>SUM(K181+K182+K183+K184+K185+K186+K187+K188+K189+K190+K191+K192+K193+K194)</f>
        <v>0</v>
      </c>
      <c r="L180" s="722">
        <f>SUM(L181+L182+L183+L186+L187+L188+L189+L190+L191+L192+L193+L194)</f>
        <v>0</v>
      </c>
      <c r="M180" s="722">
        <f>SUM(M181+M182+M183+M186+M187+M188+M189+M190+M191+M192+M193+M194)</f>
        <v>557702</v>
      </c>
      <c r="N180" s="800"/>
      <c r="P180" s="149">
        <v>54000</v>
      </c>
      <c r="Q180" s="247"/>
      <c r="R180" s="247"/>
    </row>
    <row r="181" spans="1:20" ht="12" customHeight="1">
      <c r="A181" s="163"/>
      <c r="B181" s="352"/>
      <c r="C181" s="353"/>
      <c r="D181" s="353"/>
      <c r="E181" s="353"/>
      <c r="F181" s="353"/>
      <c r="G181" s="353"/>
      <c r="H181" s="354"/>
      <c r="I181" s="360">
        <v>602.20010000000002</v>
      </c>
      <c r="J181" s="361" t="s">
        <v>192</v>
      </c>
      <c r="K181" s="362"/>
      <c r="L181" s="755"/>
      <c r="M181" s="755">
        <v>95272</v>
      </c>
      <c r="N181" s="802"/>
      <c r="P181" s="149">
        <v>19800</v>
      </c>
      <c r="Q181" s="247"/>
      <c r="R181" s="247"/>
    </row>
    <row r="182" spans="1:20" ht="12" customHeight="1">
      <c r="A182" s="163"/>
      <c r="B182" s="339"/>
      <c r="C182" s="340"/>
      <c r="D182" s="340"/>
      <c r="E182" s="340"/>
      <c r="F182" s="340"/>
      <c r="G182" s="340"/>
      <c r="H182" s="150"/>
      <c r="I182" s="341">
        <v>602.2002</v>
      </c>
      <c r="J182" s="342" t="s">
        <v>349</v>
      </c>
      <c r="K182" s="344"/>
      <c r="L182" s="474">
        <v>0</v>
      </c>
      <c r="M182" s="474">
        <v>0</v>
      </c>
      <c r="N182" s="802"/>
      <c r="P182" s="149">
        <f>SUM(P180:P181)</f>
        <v>73800</v>
      </c>
      <c r="Q182" s="247"/>
      <c r="R182" s="247"/>
    </row>
    <row r="183" spans="1:20" ht="12" customHeight="1">
      <c r="A183" s="163"/>
      <c r="B183" s="339"/>
      <c r="C183" s="340"/>
      <c r="D183" s="340"/>
      <c r="E183" s="340"/>
      <c r="F183" s="340"/>
      <c r="G183" s="340"/>
      <c r="H183" s="150"/>
      <c r="I183" s="341">
        <v>602.20029999999997</v>
      </c>
      <c r="J183" s="342" t="s">
        <v>350</v>
      </c>
      <c r="K183" s="344"/>
      <c r="L183" s="478">
        <f>L184+L185</f>
        <v>0</v>
      </c>
      <c r="M183" s="478">
        <f>M184+M185</f>
        <v>152724</v>
      </c>
      <c r="N183" s="802"/>
      <c r="Q183" s="247"/>
      <c r="R183" s="247"/>
    </row>
    <row r="184" spans="1:20" ht="12" customHeight="1">
      <c r="A184" s="163"/>
      <c r="B184" s="339"/>
      <c r="C184" s="340"/>
      <c r="D184" s="340"/>
      <c r="E184" s="340"/>
      <c r="F184" s="340"/>
      <c r="G184" s="340"/>
      <c r="H184" s="150"/>
      <c r="I184" s="341"/>
      <c r="J184" s="906" t="s">
        <v>471</v>
      </c>
      <c r="K184" s="344"/>
      <c r="L184" s="764"/>
      <c r="M184" s="764">
        <v>144924</v>
      </c>
      <c r="N184" s="802"/>
      <c r="O184" s="149">
        <v>66000</v>
      </c>
      <c r="Q184" s="247"/>
      <c r="R184" s="247"/>
    </row>
    <row r="185" spans="1:20">
      <c r="A185" s="163"/>
      <c r="B185" s="339"/>
      <c r="C185" s="340"/>
      <c r="D185" s="340"/>
      <c r="E185" s="340"/>
      <c r="F185" s="340"/>
      <c r="G185" s="340"/>
      <c r="H185" s="150"/>
      <c r="I185" s="341"/>
      <c r="J185" s="907" t="s">
        <v>470</v>
      </c>
      <c r="K185" s="344"/>
      <c r="L185" s="765"/>
      <c r="M185" s="765">
        <v>7800</v>
      </c>
      <c r="N185" s="799"/>
      <c r="O185" s="149">
        <v>19800</v>
      </c>
      <c r="P185" s="682"/>
      <c r="Q185" s="247"/>
      <c r="R185" s="247"/>
    </row>
    <row r="186" spans="1:20" ht="12" customHeight="1">
      <c r="A186" s="163"/>
      <c r="B186" s="339"/>
      <c r="C186" s="340"/>
      <c r="D186" s="340"/>
      <c r="E186" s="340"/>
      <c r="F186" s="340"/>
      <c r="G186" s="340"/>
      <c r="H186" s="150"/>
      <c r="I186" s="341">
        <v>602.20039999999995</v>
      </c>
      <c r="J186" s="342" t="s">
        <v>351</v>
      </c>
      <c r="K186" s="344"/>
      <c r="L186" s="754"/>
      <c r="M186" s="754">
        <v>58986</v>
      </c>
      <c r="N186" s="803"/>
      <c r="O186" s="149">
        <v>26358</v>
      </c>
      <c r="P186" s="682">
        <f>M186+O186</f>
        <v>85344</v>
      </c>
      <c r="Q186" s="247"/>
      <c r="R186" s="247"/>
    </row>
    <row r="187" spans="1:20" ht="12" customHeight="1">
      <c r="A187" s="163"/>
      <c r="B187" s="339"/>
      <c r="C187" s="340"/>
      <c r="D187" s="340"/>
      <c r="E187" s="340"/>
      <c r="F187" s="340"/>
      <c r="G187" s="340"/>
      <c r="H187" s="150"/>
      <c r="I187" s="341">
        <v>602.20050000000003</v>
      </c>
      <c r="J187" s="342" t="s">
        <v>352</v>
      </c>
      <c r="K187" s="344"/>
      <c r="L187" s="474"/>
      <c r="M187" s="474">
        <v>250720</v>
      </c>
      <c r="N187" s="802"/>
      <c r="P187" s="682">
        <f>M187+O187</f>
        <v>250720</v>
      </c>
      <c r="Q187" s="247"/>
      <c r="R187" s="247"/>
    </row>
    <row r="188" spans="1:20" ht="12" customHeight="1">
      <c r="A188" s="163"/>
      <c r="B188" s="339"/>
      <c r="C188" s="340"/>
      <c r="D188" s="340"/>
      <c r="E188" s="340"/>
      <c r="F188" s="340"/>
      <c r="G188" s="340"/>
      <c r="H188" s="150"/>
      <c r="I188" s="341">
        <v>602.20060000000001</v>
      </c>
      <c r="J188" s="342" t="s">
        <v>353</v>
      </c>
      <c r="K188" s="344"/>
      <c r="L188" s="474"/>
      <c r="M188" s="474"/>
      <c r="N188" s="804"/>
      <c r="Q188" s="247"/>
      <c r="R188" s="247"/>
    </row>
    <row r="189" spans="1:20" ht="12" customHeight="1">
      <c r="A189" s="163"/>
      <c r="B189" s="339"/>
      <c r="C189" s="340"/>
      <c r="D189" s="340"/>
      <c r="E189" s="340"/>
      <c r="F189" s="340"/>
      <c r="G189" s="340"/>
      <c r="H189" s="150"/>
      <c r="I189" s="341">
        <v>602.20069999999998</v>
      </c>
      <c r="J189" s="342" t="s">
        <v>354</v>
      </c>
      <c r="K189" s="344"/>
      <c r="L189" s="783"/>
      <c r="M189" s="783"/>
      <c r="N189" s="750"/>
      <c r="Q189" s="247"/>
      <c r="R189" s="247"/>
    </row>
    <row r="190" spans="1:20" ht="13.5" customHeight="1">
      <c r="A190" s="163"/>
      <c r="B190" s="339"/>
      <c r="C190" s="340"/>
      <c r="D190" s="340"/>
      <c r="E190" s="340"/>
      <c r="F190" s="340"/>
      <c r="G190" s="340"/>
      <c r="H190" s="150"/>
      <c r="I190" s="341">
        <v>602.20079999999996</v>
      </c>
      <c r="J190" s="342" t="s">
        <v>355</v>
      </c>
      <c r="K190" s="344"/>
      <c r="L190" s="474"/>
      <c r="M190" s="474"/>
      <c r="N190" s="751"/>
      <c r="O190" s="682">
        <f>M184+O184</f>
        <v>210924</v>
      </c>
      <c r="Q190" s="247"/>
      <c r="R190" s="247"/>
    </row>
    <row r="191" spans="1:20" ht="12" customHeight="1">
      <c r="A191" s="163"/>
      <c r="B191" s="339"/>
      <c r="C191" s="340"/>
      <c r="D191" s="340"/>
      <c r="E191" s="340"/>
      <c r="F191" s="340"/>
      <c r="G191" s="340"/>
      <c r="H191" s="150"/>
      <c r="I191" s="341">
        <v>602.20090000000005</v>
      </c>
      <c r="J191" s="342" t="s">
        <v>356</v>
      </c>
      <c r="K191" s="344"/>
      <c r="L191" s="474"/>
      <c r="M191" s="474"/>
      <c r="N191" s="383"/>
      <c r="Q191" s="247"/>
      <c r="R191" s="247"/>
    </row>
    <row r="192" spans="1:20" ht="12" customHeight="1">
      <c r="A192" s="163"/>
      <c r="B192" s="339"/>
      <c r="C192" s="340"/>
      <c r="D192" s="340"/>
      <c r="E192" s="340"/>
      <c r="F192" s="340"/>
      <c r="G192" s="340"/>
      <c r="H192" s="150"/>
      <c r="I192" s="341">
        <v>602.20100000000002</v>
      </c>
      <c r="J192" s="342" t="s">
        <v>357</v>
      </c>
      <c r="K192" s="344"/>
      <c r="L192" s="474"/>
      <c r="M192" s="474"/>
      <c r="N192" s="802"/>
      <c r="O192" s="512"/>
      <c r="P192" s="512"/>
      <c r="Q192" s="513"/>
      <c r="R192" s="513"/>
      <c r="S192" s="512"/>
      <c r="T192" s="512"/>
    </row>
    <row r="193" spans="1:18" ht="12" customHeight="1">
      <c r="A193" s="163"/>
      <c r="B193" s="339"/>
      <c r="C193" s="340"/>
      <c r="D193" s="340"/>
      <c r="E193" s="340"/>
      <c r="F193" s="340"/>
      <c r="G193" s="340"/>
      <c r="H193" s="150"/>
      <c r="I193" s="341">
        <v>602.20110000000102</v>
      </c>
      <c r="J193" s="342" t="s">
        <v>204</v>
      </c>
      <c r="K193" s="344"/>
      <c r="L193" s="474"/>
      <c r="M193" s="474"/>
      <c r="N193" s="802"/>
      <c r="Q193" s="247"/>
      <c r="R193" s="247"/>
    </row>
    <row r="194" spans="1:18" ht="12" customHeight="1" thickBot="1">
      <c r="A194" s="163"/>
      <c r="B194" s="345"/>
      <c r="C194" s="346"/>
      <c r="D194" s="346"/>
      <c r="E194" s="346"/>
      <c r="F194" s="346"/>
      <c r="G194" s="346"/>
      <c r="H194" s="164"/>
      <c r="I194" s="347">
        <v>602.20989999999995</v>
      </c>
      <c r="J194" s="348" t="s">
        <v>358</v>
      </c>
      <c r="K194" s="350"/>
      <c r="L194" s="475"/>
      <c r="M194" s="475"/>
      <c r="N194" s="802"/>
      <c r="O194" s="445"/>
      <c r="P194" s="445"/>
      <c r="Q194" s="247"/>
      <c r="R194" s="247"/>
    </row>
    <row r="195" spans="1:18" ht="12" customHeight="1" thickBot="1">
      <c r="A195" s="163"/>
      <c r="B195" s="320"/>
      <c r="C195" s="321"/>
      <c r="D195" s="321"/>
      <c r="E195" s="321"/>
      <c r="F195" s="321"/>
      <c r="G195" s="321"/>
      <c r="H195" s="322"/>
      <c r="I195" s="323">
        <v>6023</v>
      </c>
      <c r="J195" s="324" t="s">
        <v>206</v>
      </c>
      <c r="K195" s="351">
        <f>SUM(K196+K197+K198+K199)</f>
        <v>0</v>
      </c>
      <c r="L195" s="476">
        <f>SUM(L196+L197+L198+L199)</f>
        <v>0</v>
      </c>
      <c r="M195" s="476">
        <f>SUM(M196:M199)</f>
        <v>2384772</v>
      </c>
      <c r="N195" s="802"/>
      <c r="Q195" s="247"/>
      <c r="R195" s="247"/>
    </row>
    <row r="196" spans="1:18" ht="12" customHeight="1">
      <c r="A196" s="163"/>
      <c r="B196" s="352"/>
      <c r="C196" s="353"/>
      <c r="D196" s="353"/>
      <c r="E196" s="353"/>
      <c r="F196" s="353"/>
      <c r="G196" s="353"/>
      <c r="H196" s="354"/>
      <c r="I196" s="360">
        <v>602.30999999999995</v>
      </c>
      <c r="J196" s="361" t="s">
        <v>207</v>
      </c>
      <c r="K196" s="362"/>
      <c r="L196" s="477"/>
      <c r="M196" s="477">
        <v>2301612</v>
      </c>
      <c r="N196" s="802"/>
      <c r="Q196" s="247"/>
      <c r="R196" s="247"/>
    </row>
    <row r="197" spans="1:18" ht="12" customHeight="1">
      <c r="A197" s="163"/>
      <c r="B197" s="339"/>
      <c r="C197" s="340"/>
      <c r="D197" s="340"/>
      <c r="E197" s="340"/>
      <c r="F197" s="340"/>
      <c r="G197" s="340"/>
      <c r="H197" s="150"/>
      <c r="I197" s="341">
        <v>602.32000000000005</v>
      </c>
      <c r="J197" s="342" t="s">
        <v>359</v>
      </c>
      <c r="K197" s="344"/>
      <c r="L197" s="474"/>
      <c r="M197" s="474">
        <v>83160</v>
      </c>
      <c r="N197" s="802"/>
      <c r="Q197" s="247"/>
      <c r="R197" s="247"/>
    </row>
    <row r="198" spans="1:18" ht="12" customHeight="1">
      <c r="A198" s="163"/>
      <c r="B198" s="339"/>
      <c r="C198" s="340"/>
      <c r="D198" s="340"/>
      <c r="E198" s="340"/>
      <c r="F198" s="340"/>
      <c r="G198" s="340"/>
      <c r="H198" s="150"/>
      <c r="I198" s="341">
        <v>602.33000000000004</v>
      </c>
      <c r="J198" s="342" t="s">
        <v>360</v>
      </c>
      <c r="K198" s="344"/>
      <c r="L198" s="474"/>
      <c r="M198" s="474"/>
      <c r="N198" s="802"/>
      <c r="Q198" s="247"/>
      <c r="R198" s="247"/>
    </row>
    <row r="199" spans="1:18" ht="12" customHeight="1" thickBot="1">
      <c r="A199" s="163"/>
      <c r="B199" s="345"/>
      <c r="C199" s="346"/>
      <c r="D199" s="346"/>
      <c r="E199" s="346"/>
      <c r="F199" s="346"/>
      <c r="G199" s="346"/>
      <c r="H199" s="164"/>
      <c r="I199" s="347">
        <v>602.39</v>
      </c>
      <c r="J199" s="348" t="s">
        <v>361</v>
      </c>
      <c r="K199" s="350"/>
      <c r="L199" s="798"/>
      <c r="M199" s="798"/>
      <c r="N199" s="802"/>
      <c r="O199" s="209"/>
      <c r="P199" s="209"/>
      <c r="Q199" s="247"/>
      <c r="R199" s="247"/>
    </row>
    <row r="200" spans="1:18" ht="13.5" thickBot="1">
      <c r="A200" s="163"/>
      <c r="B200" s="320"/>
      <c r="C200" s="321"/>
      <c r="D200" s="321"/>
      <c r="E200" s="321"/>
      <c r="F200" s="321"/>
      <c r="G200" s="321"/>
      <c r="H200" s="322"/>
      <c r="I200" s="323">
        <v>602.4</v>
      </c>
      <c r="J200" s="324" t="s">
        <v>362</v>
      </c>
      <c r="K200" s="351">
        <f>SUM(K201+K202)</f>
        <v>0</v>
      </c>
      <c r="L200" s="476">
        <f>SUM(L201+L202)</f>
        <v>0</v>
      </c>
      <c r="M200" s="476">
        <f>SUM(M201:M202)</f>
        <v>1784425</v>
      </c>
      <c r="N200" s="799"/>
      <c r="Q200" s="247"/>
      <c r="R200" s="247"/>
    </row>
    <row r="201" spans="1:18">
      <c r="A201" s="163"/>
      <c r="B201" s="352"/>
      <c r="C201" s="353"/>
      <c r="D201" s="353"/>
      <c r="E201" s="353"/>
      <c r="F201" s="353"/>
      <c r="G201" s="353"/>
      <c r="H201" s="354"/>
      <c r="I201" s="360">
        <v>602.4</v>
      </c>
      <c r="J201" s="361" t="s">
        <v>363</v>
      </c>
      <c r="K201" s="362"/>
      <c r="L201" s="712"/>
      <c r="M201" s="712">
        <v>1784425</v>
      </c>
      <c r="N201" s="804"/>
      <c r="Q201" s="247"/>
      <c r="R201" s="247"/>
    </row>
    <row r="202" spans="1:18" ht="13.5" thickBot="1">
      <c r="A202" s="163"/>
      <c r="B202" s="345"/>
      <c r="C202" s="346"/>
      <c r="D202" s="346"/>
      <c r="E202" s="346"/>
      <c r="F202" s="346"/>
      <c r="G202" s="346"/>
      <c r="H202" s="164"/>
      <c r="I202" s="347">
        <v>602.41</v>
      </c>
      <c r="J202" s="348" t="s">
        <v>364</v>
      </c>
      <c r="K202" s="350"/>
      <c r="L202" s="797"/>
      <c r="M202" s="797"/>
      <c r="N202" s="802"/>
      <c r="Q202" s="247"/>
      <c r="R202" s="247"/>
    </row>
    <row r="203" spans="1:18" ht="13.5" thickBot="1">
      <c r="A203" s="163"/>
      <c r="B203" s="320"/>
      <c r="C203" s="321"/>
      <c r="D203" s="321"/>
      <c r="E203" s="321"/>
      <c r="F203" s="321"/>
      <c r="G203" s="321"/>
      <c r="H203" s="322"/>
      <c r="I203" s="323">
        <v>602.5</v>
      </c>
      <c r="J203" s="324" t="s">
        <v>365</v>
      </c>
      <c r="K203" s="351">
        <f>SUM(K204+K205+K206+K207+K208+K209+K210+K211)</f>
        <v>0</v>
      </c>
      <c r="L203" s="472">
        <f>SUM(L204+L205+L206+L207+L208+L209+L210+L211)</f>
        <v>0</v>
      </c>
      <c r="M203" s="472">
        <f>SUM(M204:M211)</f>
        <v>0</v>
      </c>
      <c r="N203" s="802"/>
      <c r="Q203" s="247"/>
      <c r="R203" s="247"/>
    </row>
    <row r="204" spans="1:18">
      <c r="A204" s="163"/>
      <c r="B204" s="352"/>
      <c r="C204" s="353"/>
      <c r="D204" s="353"/>
      <c r="E204" s="353"/>
      <c r="F204" s="353"/>
      <c r="G204" s="353"/>
      <c r="H204" s="354"/>
      <c r="I204" s="360">
        <v>602.5</v>
      </c>
      <c r="J204" s="361" t="s">
        <v>366</v>
      </c>
      <c r="K204" s="364"/>
      <c r="L204" s="481"/>
      <c r="M204" s="481"/>
      <c r="N204" s="802"/>
      <c r="Q204" s="247"/>
      <c r="R204" s="247"/>
    </row>
    <row r="205" spans="1:18">
      <c r="A205" s="163"/>
      <c r="B205" s="339"/>
      <c r="C205" s="340"/>
      <c r="D205" s="340"/>
      <c r="E205" s="340"/>
      <c r="F205" s="340"/>
      <c r="G205" s="340"/>
      <c r="H205" s="150"/>
      <c r="I205" s="341">
        <v>602.51</v>
      </c>
      <c r="J205" s="342" t="s">
        <v>367</v>
      </c>
      <c r="K205" s="365"/>
      <c r="L205" s="482"/>
      <c r="M205" s="482"/>
      <c r="N205" s="799"/>
      <c r="Q205" s="247"/>
      <c r="R205" s="247"/>
    </row>
    <row r="206" spans="1:18">
      <c r="A206" s="163"/>
      <c r="B206" s="339"/>
      <c r="C206" s="340"/>
      <c r="D206" s="340"/>
      <c r="E206" s="340"/>
      <c r="F206" s="340"/>
      <c r="G206" s="340"/>
      <c r="H206" s="150"/>
      <c r="I206" s="341">
        <v>602.52</v>
      </c>
      <c r="J206" s="342" t="s">
        <v>368</v>
      </c>
      <c r="K206" s="365"/>
      <c r="L206" s="482"/>
      <c r="M206" s="482"/>
      <c r="N206" s="140"/>
      <c r="Q206" s="247"/>
      <c r="R206" s="247"/>
    </row>
    <row r="207" spans="1:18" ht="13.5" thickBot="1">
      <c r="A207" s="163"/>
      <c r="B207" s="367"/>
      <c r="C207" s="368"/>
      <c r="D207" s="368"/>
      <c r="E207" s="368"/>
      <c r="F207" s="368"/>
      <c r="G207" s="368"/>
      <c r="H207" s="369"/>
      <c r="I207" s="370">
        <v>602.53</v>
      </c>
      <c r="J207" s="371" t="s">
        <v>369</v>
      </c>
      <c r="K207" s="372"/>
      <c r="L207" s="483"/>
      <c r="M207" s="483"/>
      <c r="N207" s="802"/>
      <c r="Q207" s="247"/>
      <c r="R207" s="247"/>
    </row>
    <row r="208" spans="1:18">
      <c r="A208" s="163"/>
      <c r="B208" s="332"/>
      <c r="C208" s="333"/>
      <c r="D208" s="333"/>
      <c r="E208" s="333"/>
      <c r="F208" s="333"/>
      <c r="G208" s="333"/>
      <c r="H208" s="334"/>
      <c r="I208" s="335">
        <v>602.54</v>
      </c>
      <c r="J208" s="336" t="s">
        <v>405</v>
      </c>
      <c r="K208" s="373"/>
      <c r="L208" s="469"/>
      <c r="M208" s="469"/>
      <c r="N208" s="801"/>
      <c r="Q208" s="247"/>
      <c r="R208" s="247"/>
    </row>
    <row r="209" spans="1:18">
      <c r="A209" s="163"/>
      <c r="B209" s="339"/>
      <c r="C209" s="340"/>
      <c r="D209" s="340"/>
      <c r="E209" s="340"/>
      <c r="F209" s="340"/>
      <c r="G209" s="340"/>
      <c r="H209" s="150"/>
      <c r="I209" s="341">
        <v>602.54999999999995</v>
      </c>
      <c r="J209" s="342" t="s">
        <v>370</v>
      </c>
      <c r="K209" s="365"/>
      <c r="L209" s="710"/>
      <c r="M209" s="710"/>
      <c r="N209" s="801"/>
      <c r="Q209" s="247"/>
      <c r="R209" s="247"/>
    </row>
    <row r="210" spans="1:18">
      <c r="A210" s="163"/>
      <c r="B210" s="339"/>
      <c r="C210" s="340"/>
      <c r="D210" s="340"/>
      <c r="E210" s="340"/>
      <c r="F210" s="340"/>
      <c r="G210" s="340"/>
      <c r="H210" s="150"/>
      <c r="I210" s="341">
        <v>602.55999999999995</v>
      </c>
      <c r="J210" s="342" t="s">
        <v>371</v>
      </c>
      <c r="K210" s="365"/>
      <c r="L210" s="482"/>
      <c r="M210" s="482"/>
      <c r="N210" s="801"/>
      <c r="Q210" s="247"/>
      <c r="R210" s="247"/>
    </row>
    <row r="211" spans="1:18" ht="13.5" thickBot="1">
      <c r="A211" s="163"/>
      <c r="B211" s="345"/>
      <c r="C211" s="346"/>
      <c r="D211" s="346"/>
      <c r="E211" s="346"/>
      <c r="F211" s="346"/>
      <c r="G211" s="346"/>
      <c r="H211" s="164"/>
      <c r="I211" s="347">
        <v>602.58000000000004</v>
      </c>
      <c r="J211" s="348" t="s">
        <v>372</v>
      </c>
      <c r="K211" s="374"/>
      <c r="L211" s="711"/>
      <c r="M211" s="711"/>
      <c r="N211" s="801"/>
      <c r="Q211" s="247"/>
      <c r="R211" s="247"/>
    </row>
    <row r="212" spans="1:18" ht="13.5" thickBot="1">
      <c r="A212" s="163"/>
      <c r="B212" s="320"/>
      <c r="C212" s="321"/>
      <c r="D212" s="321"/>
      <c r="E212" s="321"/>
      <c r="F212" s="321"/>
      <c r="G212" s="321"/>
      <c r="H212" s="322"/>
      <c r="I212" s="323">
        <v>602.6</v>
      </c>
      <c r="J212" s="324" t="s">
        <v>373</v>
      </c>
      <c r="K212" s="376">
        <f>SUM(K213+K214+K215+K216+K217)</f>
        <v>0</v>
      </c>
      <c r="L212" s="485">
        <f>SUM(L213+L214+L215+L216+L217)</f>
        <v>0</v>
      </c>
      <c r="M212" s="485">
        <f>SUM(M213+M214+M215+M216+M217)</f>
        <v>66000</v>
      </c>
      <c r="N212" s="801"/>
      <c r="Q212" s="247"/>
      <c r="R212" s="247"/>
    </row>
    <row r="213" spans="1:18">
      <c r="A213" s="163"/>
      <c r="B213" s="352"/>
      <c r="C213" s="353"/>
      <c r="D213" s="353"/>
      <c r="E213" s="353"/>
      <c r="F213" s="353"/>
      <c r="G213" s="353"/>
      <c r="H213" s="354"/>
      <c r="I213" s="360">
        <v>602.61</v>
      </c>
      <c r="J213" s="361" t="s">
        <v>374</v>
      </c>
      <c r="K213" s="364"/>
      <c r="L213" s="481"/>
      <c r="M213" s="481">
        <v>30000</v>
      </c>
      <c r="N213" s="801"/>
      <c r="Q213" s="247"/>
      <c r="R213" s="247"/>
    </row>
    <row r="214" spans="1:18">
      <c r="A214" s="163"/>
      <c r="B214" s="339"/>
      <c r="C214" s="340"/>
      <c r="D214" s="340"/>
      <c r="E214" s="340"/>
      <c r="F214" s="340"/>
      <c r="G214" s="340"/>
      <c r="H214" s="150"/>
      <c r="I214" s="341">
        <v>602.62</v>
      </c>
      <c r="J214" s="342" t="s">
        <v>375</v>
      </c>
      <c r="K214" s="365"/>
      <c r="L214" s="482"/>
      <c r="M214" s="482"/>
      <c r="N214" s="140"/>
      <c r="Q214" s="247"/>
      <c r="R214" s="247"/>
    </row>
    <row r="215" spans="1:18">
      <c r="A215" s="163"/>
      <c r="B215" s="339"/>
      <c r="C215" s="340"/>
      <c r="D215" s="340"/>
      <c r="E215" s="340"/>
      <c r="F215" s="340"/>
      <c r="G215" s="340"/>
      <c r="H215" s="150"/>
      <c r="I215" s="341">
        <v>602.63</v>
      </c>
      <c r="J215" s="342" t="s">
        <v>376</v>
      </c>
      <c r="K215" s="365"/>
      <c r="L215" s="482"/>
      <c r="M215" s="482"/>
      <c r="N215" s="801"/>
      <c r="Q215" s="247"/>
      <c r="R215" s="247"/>
    </row>
    <row r="216" spans="1:18">
      <c r="A216" s="163"/>
      <c r="B216" s="339"/>
      <c r="C216" s="340"/>
      <c r="D216" s="340"/>
      <c r="E216" s="340"/>
      <c r="F216" s="340"/>
      <c r="G216" s="340"/>
      <c r="H216" s="150"/>
      <c r="I216" s="341">
        <v>602.64</v>
      </c>
      <c r="J216" s="342" t="s">
        <v>377</v>
      </c>
      <c r="K216" s="365"/>
      <c r="L216" s="482"/>
      <c r="M216" s="482">
        <v>36000</v>
      </c>
      <c r="N216" s="140"/>
    </row>
    <row r="217" spans="1:18" ht="13.5" thickBot="1">
      <c r="A217" s="163"/>
      <c r="B217" s="345"/>
      <c r="C217" s="346"/>
      <c r="D217" s="346"/>
      <c r="E217" s="346"/>
      <c r="F217" s="346"/>
      <c r="G217" s="346"/>
      <c r="H217" s="164"/>
      <c r="I217" s="347">
        <v>602.69000000000005</v>
      </c>
      <c r="J217" s="348" t="s">
        <v>378</v>
      </c>
      <c r="K217" s="374"/>
      <c r="L217" s="486"/>
      <c r="M217" s="486"/>
      <c r="N217" s="804"/>
    </row>
    <row r="218" spans="1:18" ht="13.5" thickBot="1">
      <c r="A218" s="163"/>
      <c r="B218" s="320"/>
      <c r="C218" s="321"/>
      <c r="D218" s="321"/>
      <c r="E218" s="321"/>
      <c r="F218" s="321"/>
      <c r="G218" s="321"/>
      <c r="H218" s="322"/>
      <c r="I218" s="377">
        <v>602.70000000000005</v>
      </c>
      <c r="J218" s="324" t="s">
        <v>379</v>
      </c>
      <c r="K218" s="376">
        <f>SUM(K219+K220+K221+K222+K223+K224)</f>
        <v>0</v>
      </c>
      <c r="L218" s="485">
        <f>SUM(L219+L220+L221+L222+L223+L224)</f>
        <v>0</v>
      </c>
      <c r="M218" s="485">
        <f>SUM(M219:M224)</f>
        <v>360000</v>
      </c>
      <c r="N218" s="801"/>
    </row>
    <row r="219" spans="1:18">
      <c r="A219" s="163"/>
      <c r="B219" s="352"/>
      <c r="C219" s="353"/>
      <c r="D219" s="353"/>
      <c r="E219" s="353"/>
      <c r="F219" s="353"/>
      <c r="G219" s="353"/>
      <c r="H219" s="354"/>
      <c r="I219" s="360">
        <v>602.71</v>
      </c>
      <c r="J219" s="361" t="s">
        <v>380</v>
      </c>
      <c r="K219" s="364"/>
      <c r="L219" s="481"/>
      <c r="M219" s="481"/>
      <c r="N219" s="801"/>
    </row>
    <row r="220" spans="1:18">
      <c r="A220" s="163"/>
      <c r="B220" s="339"/>
      <c r="C220" s="340"/>
      <c r="D220" s="340"/>
      <c r="E220" s="340"/>
      <c r="F220" s="340"/>
      <c r="G220" s="340"/>
      <c r="H220" s="150"/>
      <c r="I220" s="341">
        <v>602.72</v>
      </c>
      <c r="J220" s="342" t="s">
        <v>381</v>
      </c>
      <c r="K220" s="365"/>
      <c r="L220" s="482"/>
      <c r="M220" s="482"/>
      <c r="N220" s="801"/>
    </row>
    <row r="221" spans="1:18">
      <c r="A221" s="163"/>
      <c r="B221" s="339"/>
      <c r="C221" s="340"/>
      <c r="D221" s="340"/>
      <c r="E221" s="340"/>
      <c r="F221" s="340"/>
      <c r="G221" s="340"/>
      <c r="H221" s="150"/>
      <c r="I221" s="341">
        <v>602.73</v>
      </c>
      <c r="J221" s="342" t="s">
        <v>382</v>
      </c>
      <c r="K221" s="365"/>
      <c r="L221" s="482"/>
      <c r="M221" s="482"/>
      <c r="N221" s="801"/>
    </row>
    <row r="222" spans="1:18">
      <c r="A222" s="163"/>
      <c r="B222" s="339"/>
      <c r="C222" s="340"/>
      <c r="D222" s="340"/>
      <c r="E222" s="340"/>
      <c r="F222" s="340"/>
      <c r="G222" s="340"/>
      <c r="H222" s="150"/>
      <c r="I222" s="341">
        <v>602.74</v>
      </c>
      <c r="J222" s="342" t="s">
        <v>383</v>
      </c>
      <c r="K222" s="365"/>
      <c r="L222" s="781"/>
      <c r="M222" s="781">
        <v>360000</v>
      </c>
      <c r="N222" s="801"/>
      <c r="O222" s="149">
        <v>360000</v>
      </c>
    </row>
    <row r="223" spans="1:18">
      <c r="A223" s="163"/>
      <c r="B223" s="339"/>
      <c r="C223" s="340"/>
      <c r="D223" s="340"/>
      <c r="E223" s="340"/>
      <c r="F223" s="340"/>
      <c r="G223" s="340"/>
      <c r="H223" s="150"/>
      <c r="I223" s="341">
        <v>602.75</v>
      </c>
      <c r="J223" s="342" t="s">
        <v>384</v>
      </c>
      <c r="K223" s="365"/>
      <c r="L223" s="482"/>
      <c r="M223" s="482"/>
      <c r="N223" s="804"/>
    </row>
    <row r="224" spans="1:18" ht="13.5" thickBot="1">
      <c r="A224" s="163"/>
      <c r="B224" s="345"/>
      <c r="C224" s="346"/>
      <c r="D224" s="346"/>
      <c r="E224" s="346"/>
      <c r="F224" s="346"/>
      <c r="G224" s="346"/>
      <c r="H224" s="164"/>
      <c r="I224" s="347">
        <v>602.79</v>
      </c>
      <c r="J224" s="348" t="s">
        <v>385</v>
      </c>
      <c r="K224" s="374"/>
      <c r="L224" s="486"/>
      <c r="M224" s="486"/>
      <c r="N224" s="801"/>
    </row>
    <row r="225" spans="1:14" ht="13.5" thickBot="1">
      <c r="A225" s="163"/>
      <c r="B225" s="320"/>
      <c r="C225" s="321"/>
      <c r="D225" s="321"/>
      <c r="E225" s="321"/>
      <c r="F225" s="321"/>
      <c r="G225" s="321"/>
      <c r="H225" s="322"/>
      <c r="I225" s="377">
        <v>602.79999999999995</v>
      </c>
      <c r="J225" s="324" t="s">
        <v>386</v>
      </c>
      <c r="K225" s="376">
        <f>SUM(K226+K227)</f>
        <v>0</v>
      </c>
      <c r="L225" s="485">
        <f>SUM(L226+L227)</f>
        <v>0</v>
      </c>
      <c r="M225" s="485">
        <f>SUM(M226+M227)</f>
        <v>0</v>
      </c>
      <c r="N225" s="801"/>
    </row>
    <row r="226" spans="1:14">
      <c r="A226" s="163"/>
      <c r="B226" s="352"/>
      <c r="C226" s="353"/>
      <c r="D226" s="353"/>
      <c r="E226" s="353"/>
      <c r="F226" s="353"/>
      <c r="G226" s="353"/>
      <c r="H226" s="354"/>
      <c r="I226" s="360">
        <v>602.80999999999995</v>
      </c>
      <c r="J226" s="361" t="s">
        <v>387</v>
      </c>
      <c r="K226" s="357"/>
      <c r="L226" s="473"/>
      <c r="M226" s="473"/>
      <c r="N226" s="801"/>
    </row>
    <row r="227" spans="1:14" ht="13.5" thickBot="1">
      <c r="A227" s="163"/>
      <c r="B227" s="345"/>
      <c r="C227" s="346"/>
      <c r="D227" s="346"/>
      <c r="E227" s="346"/>
      <c r="F227" s="346"/>
      <c r="G227" s="346"/>
      <c r="H227" s="164"/>
      <c r="I227" s="347">
        <v>602.82000000000005</v>
      </c>
      <c r="J227" s="348" t="s">
        <v>388</v>
      </c>
      <c r="K227" s="349"/>
      <c r="L227" s="471"/>
      <c r="M227" s="471"/>
      <c r="N227" s="801"/>
    </row>
    <row r="228" spans="1:14" ht="13.5" thickBot="1">
      <c r="A228" s="163"/>
      <c r="B228" s="320"/>
      <c r="C228" s="321"/>
      <c r="D228" s="321"/>
      <c r="E228" s="321"/>
      <c r="F228" s="321"/>
      <c r="G228" s="321"/>
      <c r="H228" s="322"/>
      <c r="I228" s="323">
        <v>602.9</v>
      </c>
      <c r="J228" s="324" t="s">
        <v>389</v>
      </c>
      <c r="K228" s="376">
        <f>SUM(K229+K230+K231+K232+K233+K234+K235+K236+K237)</f>
        <v>0</v>
      </c>
      <c r="L228" s="485">
        <f>SUM(L229+L230+L231+L232+L233+L234+L235+L236+L237)</f>
        <v>0</v>
      </c>
      <c r="M228" s="485">
        <f>SUM(M229+M230+M231+M232+M233+M234+M235+M236+M237)</f>
        <v>460000</v>
      </c>
      <c r="N228" s="801"/>
    </row>
    <row r="229" spans="1:14" ht="12" customHeight="1">
      <c r="A229" s="163"/>
      <c r="B229" s="332"/>
      <c r="C229" s="333"/>
      <c r="D229" s="333"/>
      <c r="E229" s="333"/>
      <c r="F229" s="333"/>
      <c r="G229" s="333"/>
      <c r="H229" s="334"/>
      <c r="I229" s="335">
        <v>602.90009999999995</v>
      </c>
      <c r="J229" s="336" t="s">
        <v>390</v>
      </c>
      <c r="K229" s="338"/>
      <c r="L229" s="487"/>
      <c r="M229" s="487"/>
      <c r="N229" s="801"/>
    </row>
    <row r="230" spans="1:14" ht="12" customHeight="1">
      <c r="A230" s="163"/>
      <c r="B230" s="339"/>
      <c r="C230" s="340"/>
      <c r="D230" s="340"/>
      <c r="E230" s="340"/>
      <c r="F230" s="340"/>
      <c r="G230" s="340"/>
      <c r="H230" s="150"/>
      <c r="I230" s="341">
        <v>602.90020000000004</v>
      </c>
      <c r="J230" s="342" t="s">
        <v>392</v>
      </c>
      <c r="K230" s="344"/>
      <c r="L230" s="474"/>
      <c r="M230" s="474"/>
      <c r="N230" s="804"/>
    </row>
    <row r="231" spans="1:14" ht="12" customHeight="1">
      <c r="A231" s="163"/>
      <c r="B231" s="339"/>
      <c r="C231" s="340"/>
      <c r="D231" s="340"/>
      <c r="E231" s="340"/>
      <c r="F231" s="340"/>
      <c r="G231" s="340"/>
      <c r="H231" s="150"/>
      <c r="I231" s="341">
        <v>602.90030000000002</v>
      </c>
      <c r="J231" s="342" t="s">
        <v>391</v>
      </c>
      <c r="K231" s="344"/>
      <c r="L231" s="474"/>
      <c r="M231" s="474"/>
      <c r="N231" s="800"/>
    </row>
    <row r="232" spans="1:14">
      <c r="A232" s="163"/>
      <c r="B232" s="339"/>
      <c r="C232" s="340"/>
      <c r="D232" s="340"/>
      <c r="E232" s="340"/>
      <c r="F232" s="340"/>
      <c r="G232" s="340"/>
      <c r="H232" s="150"/>
      <c r="I232" s="341">
        <v>602.90039999999999</v>
      </c>
      <c r="J232" s="342" t="s">
        <v>393</v>
      </c>
      <c r="K232" s="344"/>
      <c r="L232" s="474"/>
      <c r="M232" s="474"/>
      <c r="N232" s="800"/>
    </row>
    <row r="233" spans="1:14">
      <c r="A233" s="163"/>
      <c r="B233" s="339"/>
      <c r="C233" s="340"/>
      <c r="D233" s="340"/>
      <c r="E233" s="340"/>
      <c r="F233" s="340"/>
      <c r="G233" s="340"/>
      <c r="H233" s="150"/>
      <c r="I233" s="341">
        <v>602.90049999999997</v>
      </c>
      <c r="J233" s="342" t="s">
        <v>394</v>
      </c>
      <c r="K233" s="344"/>
      <c r="L233" s="474"/>
      <c r="M233" s="474">
        <v>386000</v>
      </c>
      <c r="N233" s="804"/>
    </row>
    <row r="234" spans="1:14" ht="12" customHeight="1">
      <c r="A234" s="163"/>
      <c r="B234" s="339"/>
      <c r="C234" s="340"/>
      <c r="D234" s="340"/>
      <c r="E234" s="340"/>
      <c r="F234" s="340"/>
      <c r="G234" s="340"/>
      <c r="H234" s="150"/>
      <c r="I234" s="341">
        <v>602.90060000000005</v>
      </c>
      <c r="J234" s="342" t="s">
        <v>395</v>
      </c>
      <c r="K234" s="344"/>
      <c r="L234" s="474"/>
      <c r="M234" s="474"/>
      <c r="N234" s="802"/>
    </row>
    <row r="235" spans="1:14" ht="12" customHeight="1">
      <c r="A235" s="163"/>
      <c r="B235" s="339"/>
      <c r="C235" s="340"/>
      <c r="D235" s="340"/>
      <c r="E235" s="340"/>
      <c r="F235" s="340"/>
      <c r="G235" s="340"/>
      <c r="H235" s="150"/>
      <c r="I235" s="341">
        <v>602.90070000000003</v>
      </c>
      <c r="J235" s="342" t="s">
        <v>396</v>
      </c>
      <c r="K235" s="343"/>
      <c r="L235" s="470"/>
      <c r="M235" s="470"/>
      <c r="N235" s="802"/>
    </row>
    <row r="236" spans="1:14" ht="12" customHeight="1">
      <c r="A236" s="163"/>
      <c r="B236" s="339"/>
      <c r="C236" s="340"/>
      <c r="D236" s="340"/>
      <c r="E236" s="340"/>
      <c r="F236" s="340"/>
      <c r="G236" s="340"/>
      <c r="H236" s="150"/>
      <c r="I236" s="341">
        <v>602.90080000000103</v>
      </c>
      <c r="J236" s="342" t="s">
        <v>397</v>
      </c>
      <c r="K236" s="344"/>
      <c r="L236" s="474"/>
      <c r="M236" s="474">
        <v>74000</v>
      </c>
      <c r="N236" s="802"/>
    </row>
    <row r="237" spans="1:14" ht="12" customHeight="1" thickBot="1">
      <c r="A237" s="163"/>
      <c r="B237" s="345"/>
      <c r="C237" s="346"/>
      <c r="D237" s="346"/>
      <c r="E237" s="346"/>
      <c r="F237" s="346"/>
      <c r="G237" s="346"/>
      <c r="H237" s="164"/>
      <c r="I237" s="347">
        <v>602.900900000001</v>
      </c>
      <c r="J237" s="348" t="s">
        <v>398</v>
      </c>
      <c r="K237" s="350"/>
      <c r="L237" s="480"/>
      <c r="M237" s="480"/>
      <c r="N237" s="802"/>
    </row>
    <row r="238" spans="1:14" ht="12" customHeight="1" thickBot="1">
      <c r="A238" s="163"/>
      <c r="B238" s="732"/>
      <c r="C238" s="733"/>
      <c r="D238" s="733"/>
      <c r="E238" s="733"/>
      <c r="F238" s="733"/>
      <c r="G238" s="776"/>
      <c r="H238" s="777">
        <v>606</v>
      </c>
      <c r="I238" s="735">
        <v>606.91</v>
      </c>
      <c r="J238" s="736" t="s">
        <v>406</v>
      </c>
      <c r="K238" s="737"/>
      <c r="L238" s="725"/>
      <c r="M238" s="725"/>
      <c r="N238" s="802"/>
    </row>
    <row r="239" spans="1:14" ht="12" customHeight="1" thickBot="1">
      <c r="A239" s="163"/>
      <c r="B239" s="385"/>
      <c r="C239" s="386"/>
      <c r="D239" s="386"/>
      <c r="E239" s="692">
        <v>6</v>
      </c>
      <c r="F239" s="386"/>
      <c r="G239" s="778">
        <v>10430</v>
      </c>
      <c r="H239" s="779">
        <v>231</v>
      </c>
      <c r="I239" s="390"/>
      <c r="J239" s="391" t="s">
        <v>435</v>
      </c>
      <c r="K239" s="388">
        <v>8000</v>
      </c>
      <c r="L239" s="388"/>
      <c r="M239" s="388"/>
      <c r="N239" s="802"/>
    </row>
    <row r="240" spans="1:14" ht="12" customHeight="1">
      <c r="A240" s="163"/>
      <c r="B240" s="224"/>
      <c r="C240" s="703" t="s">
        <v>401</v>
      </c>
      <c r="D240" s="163"/>
      <c r="E240" s="163"/>
      <c r="F240" s="163"/>
      <c r="G240" s="163"/>
      <c r="H240" s="163"/>
      <c r="I240" s="163"/>
      <c r="J240" s="379"/>
      <c r="K240" s="380"/>
      <c r="L240" s="488"/>
      <c r="M240" s="488"/>
      <c r="N240" s="802"/>
    </row>
    <row r="241" spans="1:15" ht="12" customHeight="1">
      <c r="A241" s="163"/>
      <c r="B241" s="224"/>
      <c r="C241" s="703" t="s">
        <v>433</v>
      </c>
      <c r="D241" s="163"/>
      <c r="E241" s="163"/>
      <c r="F241" s="163"/>
      <c r="G241" s="163"/>
      <c r="H241" s="163"/>
      <c r="I241" s="163"/>
      <c r="J241" s="379"/>
      <c r="K241" s="382"/>
      <c r="L241" s="490"/>
      <c r="M241" s="490"/>
      <c r="N241" s="802"/>
    </row>
    <row r="242" spans="1:15" ht="15">
      <c r="A242" s="163"/>
      <c r="B242" s="224"/>
      <c r="C242" s="163"/>
      <c r="D242" s="383" t="s">
        <v>402</v>
      </c>
      <c r="E242" s="383"/>
      <c r="F242" s="383"/>
      <c r="G242" s="383"/>
      <c r="H242" s="163"/>
      <c r="J242" s="384" t="s">
        <v>411</v>
      </c>
      <c r="K242" s="488"/>
      <c r="L242" s="488"/>
      <c r="M242" s="488"/>
      <c r="N242" s="380"/>
    </row>
    <row r="243" spans="1:15" ht="18.75" customHeight="1">
      <c r="A243" s="163"/>
      <c r="B243" s="224"/>
      <c r="C243" s="163"/>
      <c r="D243" s="704" t="s">
        <v>439</v>
      </c>
      <c r="E243" s="383"/>
      <c r="F243" s="383"/>
      <c r="G243" s="383"/>
      <c r="H243" s="383"/>
      <c r="I243" s="383"/>
      <c r="J243" s="149"/>
      <c r="K243" s="702" t="s">
        <v>440</v>
      </c>
      <c r="L243" s="489"/>
      <c r="M243" s="489"/>
      <c r="N243" s="488"/>
    </row>
    <row r="244" spans="1:15" ht="6.75" customHeight="1">
      <c r="A244" s="163"/>
      <c r="B244" s="163"/>
      <c r="C244" s="163"/>
      <c r="D244" s="163"/>
      <c r="E244" s="163"/>
      <c r="F244" s="163"/>
      <c r="G244" s="163"/>
      <c r="H244" s="163"/>
      <c r="I244" s="163"/>
      <c r="J244" s="5"/>
      <c r="K244" s="381"/>
      <c r="L244" s="489"/>
      <c r="M244" s="489"/>
      <c r="N244" s="489"/>
    </row>
    <row r="245" spans="1:15" ht="15">
      <c r="A245" s="163"/>
      <c r="B245" s="163"/>
      <c r="C245" s="163"/>
      <c r="D245" s="163"/>
      <c r="E245" s="163"/>
      <c r="F245" s="163"/>
      <c r="G245" s="163"/>
      <c r="H245" s="163"/>
      <c r="I245" s="163"/>
      <c r="J245" s="379"/>
      <c r="K245" s="382"/>
      <c r="L245" s="490"/>
      <c r="M245" s="490"/>
      <c r="N245" s="490"/>
    </row>
    <row r="246" spans="1:15" ht="12.6" customHeight="1">
      <c r="A246" s="163"/>
      <c r="B246" s="163"/>
      <c r="C246" s="210"/>
      <c r="D246" s="210"/>
      <c r="E246" s="210"/>
      <c r="F246" s="210"/>
      <c r="G246" s="210"/>
      <c r="H246" s="211"/>
      <c r="I246" s="211"/>
      <c r="J246" s="211"/>
      <c r="K246" s="211"/>
      <c r="L246" s="212"/>
      <c r="M246" s="212"/>
      <c r="N246" s="488"/>
    </row>
    <row r="247" spans="1:15" ht="12.6" customHeight="1">
      <c r="B247" s="163"/>
      <c r="C247" s="210"/>
      <c r="D247" s="210"/>
      <c r="E247" s="210"/>
      <c r="F247" s="210"/>
      <c r="G247" s="210"/>
      <c r="H247" s="210"/>
      <c r="I247" s="830"/>
      <c r="J247" s="845"/>
      <c r="K247" s="830"/>
      <c r="L247" s="835"/>
      <c r="M247" s="835"/>
      <c r="N247" s="489"/>
    </row>
    <row r="248" spans="1:15" ht="12.6" customHeight="1">
      <c r="B248" s="216"/>
      <c r="C248" s="217"/>
      <c r="D248" s="217"/>
      <c r="E248" s="218"/>
      <c r="F248" s="218"/>
      <c r="G248" s="218"/>
      <c r="H248" s="218"/>
      <c r="I248" s="911"/>
      <c r="J248" s="911"/>
      <c r="K248" s="912"/>
      <c r="L248" s="913"/>
      <c r="M248" s="913"/>
      <c r="N248" s="489"/>
    </row>
    <row r="249" spans="1:15" ht="12.6" customHeight="1">
      <c r="B249" s="221"/>
      <c r="C249" s="218" t="s">
        <v>301</v>
      </c>
      <c r="D249" s="218"/>
      <c r="E249" s="218"/>
      <c r="F249" s="218"/>
      <c r="G249" s="218"/>
      <c r="H249" s="218"/>
      <c r="I249" s="911"/>
      <c r="J249" s="914"/>
      <c r="K249" s="911"/>
      <c r="L249" s="913"/>
      <c r="M249" s="913"/>
      <c r="N249" s="489"/>
    </row>
    <row r="250" spans="1:15" ht="12.6" customHeight="1">
      <c r="B250" s="221"/>
      <c r="C250" s="218" t="s">
        <v>415</v>
      </c>
      <c r="D250" s="218"/>
      <c r="E250" s="218"/>
      <c r="F250" s="223"/>
      <c r="G250" s="218"/>
      <c r="H250" s="218"/>
      <c r="I250" s="911"/>
      <c r="J250" s="911"/>
      <c r="K250" s="913"/>
      <c r="L250" s="914"/>
      <c r="M250" s="913"/>
      <c r="N250" s="683"/>
    </row>
    <row r="251" spans="1:15" ht="12.6" customHeight="1">
      <c r="A251" s="163"/>
      <c r="B251" s="224"/>
      <c r="C251" s="224"/>
      <c r="E251" s="224"/>
      <c r="F251" s="224"/>
      <c r="G251" s="392" t="s">
        <v>416</v>
      </c>
      <c r="H251" s="224"/>
      <c r="I251" s="915"/>
      <c r="J251" s="65"/>
      <c r="K251" s="916"/>
      <c r="L251" s="917"/>
      <c r="M251" s="917"/>
      <c r="N251" s="211"/>
    </row>
    <row r="252" spans="1:15" ht="12.6" customHeight="1">
      <c r="A252" s="394"/>
      <c r="B252" s="5"/>
      <c r="C252" s="383" t="s">
        <v>300</v>
      </c>
      <c r="D252" s="226"/>
      <c r="E252" s="5"/>
      <c r="F252" s="163"/>
      <c r="G252" s="226"/>
      <c r="H252" s="214"/>
      <c r="I252" s="910"/>
      <c r="J252" s="918"/>
      <c r="K252" s="912" t="s">
        <v>489</v>
      </c>
      <c r="L252" s="919"/>
      <c r="M252" s="919"/>
      <c r="N252" s="210"/>
    </row>
    <row r="253" spans="1:15" s="220" customFormat="1" ht="12.6" customHeight="1">
      <c r="A253" s="395"/>
      <c r="B253" s="233"/>
      <c r="C253" s="233"/>
      <c r="D253" s="237"/>
      <c r="E253" s="233"/>
      <c r="F253" s="233"/>
      <c r="G253" s="234"/>
      <c r="H253" s="235"/>
      <c r="I253" s="920"/>
      <c r="J253" s="921" t="s">
        <v>423</v>
      </c>
      <c r="K253" s="238"/>
      <c r="L253" s="456"/>
      <c r="M253" s="456"/>
      <c r="N253" s="452"/>
    </row>
    <row r="254" spans="1:15" s="223" customFormat="1" ht="24" customHeight="1" thickBot="1">
      <c r="A254" s="163"/>
      <c r="B254" s="239"/>
      <c r="C254" s="233"/>
      <c r="D254" s="233"/>
      <c r="E254" s="235"/>
      <c r="F254" s="235"/>
      <c r="G254" s="235"/>
      <c r="H254" s="235"/>
      <c r="I254" s="922"/>
      <c r="J254" s="924" t="s">
        <v>488</v>
      </c>
      <c r="K254" s="922"/>
      <c r="L254" s="739"/>
      <c r="M254" s="923"/>
      <c r="N254" s="453"/>
    </row>
    <row r="255" spans="1:15" s="223" customFormat="1" ht="80.25" thickBot="1">
      <c r="A255" s="163"/>
      <c r="B255" s="689" t="s">
        <v>137</v>
      </c>
      <c r="C255" s="690" t="s">
        <v>138</v>
      </c>
      <c r="D255" s="689" t="s">
        <v>139</v>
      </c>
      <c r="E255" s="689" t="s">
        <v>140</v>
      </c>
      <c r="F255" s="689" t="s">
        <v>141</v>
      </c>
      <c r="G255" s="689" t="s">
        <v>142</v>
      </c>
      <c r="H255" s="691" t="s">
        <v>126</v>
      </c>
      <c r="I255" s="689" t="s">
        <v>143</v>
      </c>
      <c r="J255" s="684" t="s">
        <v>304</v>
      </c>
      <c r="K255" s="245" t="s">
        <v>434</v>
      </c>
      <c r="L255" s="458" t="s">
        <v>292</v>
      </c>
      <c r="M255" s="685" t="s">
        <v>305</v>
      </c>
      <c r="N255" s="453"/>
    </row>
    <row r="256" spans="1:15" ht="13.5" customHeight="1" thickBot="1">
      <c r="A256" s="163"/>
      <c r="B256" s="248" t="s">
        <v>148</v>
      </c>
      <c r="C256" s="249">
        <v>25</v>
      </c>
      <c r="D256" s="517" t="s">
        <v>267</v>
      </c>
      <c r="E256" s="250">
        <v>1</v>
      </c>
      <c r="F256" s="250">
        <v>1111</v>
      </c>
      <c r="G256" s="694">
        <v>10430</v>
      </c>
      <c r="H256" s="251"/>
      <c r="I256" s="252"/>
      <c r="J256" s="687" t="s">
        <v>308</v>
      </c>
      <c r="K256" s="254">
        <f>SUM(K257+K258+K259+K260)</f>
        <v>0</v>
      </c>
      <c r="L256" s="459">
        <f>SUM(L257+L258+L259+L260)</f>
        <v>0</v>
      </c>
      <c r="M256" s="459"/>
      <c r="N256" s="210"/>
      <c r="O256" s="149">
        <v>3220346</v>
      </c>
    </row>
    <row r="257" spans="1:19" ht="15" customHeight="1">
      <c r="A257" s="163"/>
      <c r="B257" s="255"/>
      <c r="C257" s="256"/>
      <c r="D257" s="256"/>
      <c r="E257" s="256">
        <v>1</v>
      </c>
      <c r="F257" s="256"/>
      <c r="G257" s="256"/>
      <c r="H257" s="257"/>
      <c r="I257" s="258"/>
      <c r="J257" s="259" t="s">
        <v>309</v>
      </c>
      <c r="K257" s="260"/>
      <c r="L257" s="460"/>
      <c r="M257" s="460"/>
      <c r="N257" s="826"/>
      <c r="O257" s="149">
        <v>3158954</v>
      </c>
      <c r="P257" s="149">
        <f>O256-O257</f>
        <v>61392</v>
      </c>
    </row>
    <row r="258" spans="1:19" ht="15" customHeight="1">
      <c r="A258" s="163"/>
      <c r="B258" s="262"/>
      <c r="C258" s="263"/>
      <c r="D258" s="263"/>
      <c r="E258" s="263">
        <v>5</v>
      </c>
      <c r="F258" s="263"/>
      <c r="G258" s="263"/>
      <c r="H258" s="264"/>
      <c r="I258" s="265"/>
      <c r="J258" s="266" t="s">
        <v>310</v>
      </c>
      <c r="K258" s="267"/>
      <c r="L258" s="461"/>
      <c r="M258" s="461"/>
      <c r="N258" s="826"/>
    </row>
    <row r="259" spans="1:19" ht="13.5" customHeight="1">
      <c r="A259" s="163"/>
      <c r="B259" s="262"/>
      <c r="C259" s="263"/>
      <c r="D259" s="263"/>
      <c r="E259" s="263">
        <v>5</v>
      </c>
      <c r="F259" s="263"/>
      <c r="G259" s="263"/>
      <c r="H259" s="264"/>
      <c r="I259" s="265"/>
      <c r="J259" s="266" t="s">
        <v>311</v>
      </c>
      <c r="K259" s="267"/>
      <c r="L259" s="461"/>
      <c r="M259" s="461"/>
      <c r="N259" s="826"/>
    </row>
    <row r="260" spans="1:19" ht="26.25" customHeight="1" thickBot="1">
      <c r="A260" s="396"/>
      <c r="B260" s="269"/>
      <c r="C260" s="270"/>
      <c r="D260" s="270"/>
      <c r="E260" s="270">
        <v>6</v>
      </c>
      <c r="F260" s="270"/>
      <c r="G260" s="270"/>
      <c r="H260" s="271"/>
      <c r="I260" s="272"/>
      <c r="J260" s="273" t="s">
        <v>312</v>
      </c>
      <c r="K260" s="274"/>
      <c r="L260" s="462"/>
      <c r="M260" s="462"/>
      <c r="N260" s="828"/>
    </row>
    <row r="261" spans="1:19" ht="22.5" customHeight="1" thickBot="1">
      <c r="A261" s="396"/>
      <c r="B261" s="276"/>
      <c r="C261" s="277"/>
      <c r="D261" s="277"/>
      <c r="E261" s="277"/>
      <c r="F261" s="277"/>
      <c r="G261" s="277"/>
      <c r="H261" s="277"/>
      <c r="I261" s="278"/>
      <c r="J261" s="688" t="s">
        <v>313</v>
      </c>
      <c r="K261" s="740">
        <f>SUM(K262+K277+K280+K359+K360)</f>
        <v>68360</v>
      </c>
      <c r="L261" s="574">
        <f>SUM(L262+L277+L280+L359+L360)</f>
        <v>29416</v>
      </c>
      <c r="M261" s="574">
        <f>SUM(M262+M277+M280+M359+M360)</f>
        <v>25745394</v>
      </c>
      <c r="N261" s="457"/>
    </row>
    <row r="262" spans="1:19" s="247" customFormat="1" ht="21.75" customHeight="1" thickBot="1">
      <c r="A262" s="396"/>
      <c r="B262" s="280"/>
      <c r="C262" s="281"/>
      <c r="D262" s="281"/>
      <c r="E262" s="281"/>
      <c r="F262" s="281"/>
      <c r="G262" s="281"/>
      <c r="H262" s="693">
        <v>600</v>
      </c>
      <c r="I262" s="283"/>
      <c r="J262" s="284" t="s">
        <v>314</v>
      </c>
      <c r="K262" s="285">
        <f>SUM(K263+K264+K265+K266+K267+K268+K269+K270+K271+K272+K273+K274+K275+K276)</f>
        <v>41700</v>
      </c>
      <c r="L262" s="285">
        <f>L263+L273+L276</f>
        <v>15196</v>
      </c>
      <c r="M262" s="719">
        <f>M263+M273+M276</f>
        <v>12814760</v>
      </c>
      <c r="N262" s="829"/>
    </row>
    <row r="263" spans="1:19" s="247" customFormat="1" ht="15" customHeight="1">
      <c r="A263" s="396"/>
      <c r="B263" s="287"/>
      <c r="C263" s="288"/>
      <c r="D263" s="288"/>
      <c r="E263" s="288"/>
      <c r="F263" s="288"/>
      <c r="G263" s="288"/>
      <c r="H263" s="289"/>
      <c r="I263" s="290">
        <v>600.1</v>
      </c>
      <c r="J263" s="696" t="s">
        <v>315</v>
      </c>
      <c r="K263" s="817">
        <v>41700</v>
      </c>
      <c r="L263" s="747">
        <v>15196</v>
      </c>
      <c r="M263" s="932">
        <f>SUM(M264:M268)</f>
        <v>12685299</v>
      </c>
      <c r="N263" s="832"/>
    </row>
    <row r="264" spans="1:19" s="247" customFormat="1" ht="15" customHeight="1">
      <c r="A264" s="396"/>
      <c r="B264" s="292"/>
      <c r="C264" s="293"/>
      <c r="D264" s="293"/>
      <c r="E264" s="293"/>
      <c r="F264" s="293"/>
      <c r="G264" s="293"/>
      <c r="H264" s="294"/>
      <c r="I264" s="295">
        <v>600.1001</v>
      </c>
      <c r="J264" s="697" t="s">
        <v>316</v>
      </c>
      <c r="K264" s="297"/>
      <c r="L264" s="782"/>
      <c r="M264" s="933">
        <v>9198687</v>
      </c>
      <c r="N264" s="832"/>
      <c r="O264" s="930"/>
      <c r="P264" s="930"/>
    </row>
    <row r="265" spans="1:19" s="247" customFormat="1" ht="15" customHeight="1">
      <c r="A265" s="396"/>
      <c r="B265" s="292"/>
      <c r="C265" s="293"/>
      <c r="D265" s="293"/>
      <c r="E265" s="293"/>
      <c r="F265" s="293"/>
      <c r="G265" s="293"/>
      <c r="H265" s="294"/>
      <c r="I265" s="295">
        <v>600.10019999999997</v>
      </c>
      <c r="J265" s="697" t="s">
        <v>317</v>
      </c>
      <c r="K265" s="297"/>
      <c r="L265" s="782"/>
      <c r="M265" s="933">
        <v>14978</v>
      </c>
      <c r="N265" s="832"/>
      <c r="O265" s="930"/>
      <c r="P265" s="930"/>
    </row>
    <row r="266" spans="1:19" s="247" customFormat="1" ht="15" customHeight="1">
      <c r="A266" s="396"/>
      <c r="B266" s="292"/>
      <c r="C266" s="293"/>
      <c r="D266" s="293"/>
      <c r="E266" s="293"/>
      <c r="F266" s="293"/>
      <c r="G266" s="293"/>
      <c r="H266" s="294"/>
      <c r="I266" s="295">
        <v>600.10029999999995</v>
      </c>
      <c r="J266" s="697" t="s">
        <v>318</v>
      </c>
      <c r="K266" s="297"/>
      <c r="L266" s="782"/>
      <c r="M266" s="933">
        <v>734409</v>
      </c>
      <c r="N266" s="832"/>
      <c r="O266" s="930"/>
      <c r="P266" s="930"/>
    </row>
    <row r="267" spans="1:19" s="247" customFormat="1" ht="15" customHeight="1">
      <c r="A267" s="383"/>
      <c r="B267" s="292"/>
      <c r="C267" s="293"/>
      <c r="D267" s="293"/>
      <c r="E267" s="293"/>
      <c r="F267" s="293"/>
      <c r="G267" s="293"/>
      <c r="H267" s="294"/>
      <c r="I267" s="295">
        <v>600.10050000000001</v>
      </c>
      <c r="J267" s="296" t="s">
        <v>475</v>
      </c>
      <c r="K267" s="297"/>
      <c r="L267" s="782"/>
      <c r="M267" s="933">
        <v>2638852</v>
      </c>
      <c r="N267" s="832"/>
      <c r="O267" s="930"/>
      <c r="P267" s="930"/>
    </row>
    <row r="268" spans="1:19" s="247" customFormat="1" ht="15" customHeight="1">
      <c r="A268" s="396"/>
      <c r="B268" s="292"/>
      <c r="C268" s="293"/>
      <c r="D268" s="293"/>
      <c r="E268" s="293"/>
      <c r="F268" s="293"/>
      <c r="G268" s="293"/>
      <c r="H268" s="294"/>
      <c r="I268" s="295"/>
      <c r="J268" s="697" t="s">
        <v>326</v>
      </c>
      <c r="K268" s="297"/>
      <c r="L268" s="766"/>
      <c r="M268" s="933">
        <v>98373</v>
      </c>
      <c r="N268" s="832"/>
      <c r="O268" s="930"/>
      <c r="P268" s="930"/>
    </row>
    <row r="269" spans="1:19" s="209" customFormat="1" ht="15" customHeight="1">
      <c r="A269" s="396"/>
      <c r="B269" s="299"/>
      <c r="C269" s="293"/>
      <c r="D269" s="293"/>
      <c r="E269" s="293"/>
      <c r="F269" s="293"/>
      <c r="G269" s="293"/>
      <c r="H269" s="294"/>
      <c r="I269" s="295">
        <v>600.20000000000005</v>
      </c>
      <c r="J269" s="697" t="s">
        <v>320</v>
      </c>
      <c r="K269" s="297"/>
      <c r="L269" s="815"/>
      <c r="M269" s="464"/>
      <c r="N269" s="834"/>
      <c r="O269" s="298"/>
      <c r="P269" s="247"/>
      <c r="Q269" s="247"/>
      <c r="R269" s="247"/>
      <c r="S269" s="286"/>
    </row>
    <row r="270" spans="1:19" s="247" customFormat="1" ht="15" customHeight="1">
      <c r="A270" s="396"/>
      <c r="B270" s="299"/>
      <c r="C270" s="293"/>
      <c r="D270" s="293"/>
      <c r="E270" s="293"/>
      <c r="F270" s="293"/>
      <c r="G270" s="293"/>
      <c r="H270" s="294"/>
      <c r="I270" s="295">
        <v>600.21</v>
      </c>
      <c r="J270" s="697" t="s">
        <v>321</v>
      </c>
      <c r="K270" s="297"/>
      <c r="L270" s="464"/>
      <c r="M270" s="464"/>
      <c r="N270" s="749"/>
      <c r="O270" s="298"/>
    </row>
    <row r="271" spans="1:19" s="247" customFormat="1" ht="15" customHeight="1">
      <c r="A271" s="396"/>
      <c r="B271" s="299"/>
      <c r="C271" s="293"/>
      <c r="D271" s="293"/>
      <c r="E271" s="293"/>
      <c r="F271" s="293"/>
      <c r="G271" s="293"/>
      <c r="H271" s="294"/>
      <c r="I271" s="295">
        <v>600.22</v>
      </c>
      <c r="J271" s="697" t="s">
        <v>322</v>
      </c>
      <c r="K271" s="297"/>
      <c r="L271" s="464"/>
      <c r="M271" s="464"/>
      <c r="N271" s="749"/>
      <c r="O271" s="298"/>
    </row>
    <row r="272" spans="1:19" s="247" customFormat="1" ht="15" customHeight="1">
      <c r="A272" s="396"/>
      <c r="B272" s="299"/>
      <c r="C272" s="293"/>
      <c r="D272" s="293"/>
      <c r="E272" s="293"/>
      <c r="F272" s="293"/>
      <c r="G272" s="293"/>
      <c r="H272" s="294"/>
      <c r="I272" s="295">
        <v>600.29</v>
      </c>
      <c r="J272" s="697" t="s">
        <v>323</v>
      </c>
      <c r="K272" s="297"/>
      <c r="L272" s="464"/>
      <c r="M272" s="464"/>
      <c r="N272" s="749"/>
      <c r="O272" s="298"/>
    </row>
    <row r="273" spans="1:21" s="247" customFormat="1" ht="15" customHeight="1">
      <c r="A273" s="396"/>
      <c r="B273" s="299"/>
      <c r="C273" s="293"/>
      <c r="D273" s="293"/>
      <c r="E273" s="293"/>
      <c r="F273" s="293"/>
      <c r="G273" s="293"/>
      <c r="H273" s="294"/>
      <c r="I273" s="295">
        <v>600.29999999999995</v>
      </c>
      <c r="J273" s="697" t="s">
        <v>324</v>
      </c>
      <c r="K273" s="297"/>
      <c r="L273" s="464"/>
      <c r="M273" s="464">
        <v>49000</v>
      </c>
      <c r="N273" s="749"/>
      <c r="O273" s="298"/>
    </row>
    <row r="274" spans="1:21" s="247" customFormat="1" ht="15" customHeight="1">
      <c r="A274" s="396"/>
      <c r="B274" s="299"/>
      <c r="C274" s="293"/>
      <c r="D274" s="293"/>
      <c r="E274" s="293"/>
      <c r="F274" s="293"/>
      <c r="G274" s="293"/>
      <c r="H274" s="294"/>
      <c r="I274" s="295">
        <v>600.30999999999995</v>
      </c>
      <c r="J274" s="697" t="s">
        <v>325</v>
      </c>
      <c r="K274" s="297"/>
      <c r="L274" s="464"/>
      <c r="M274" s="464"/>
      <c r="N274" s="749"/>
      <c r="O274" s="298"/>
    </row>
    <row r="275" spans="1:21" s="247" customFormat="1" ht="15" customHeight="1" thickBot="1">
      <c r="A275" s="396"/>
      <c r="B275" s="299"/>
      <c r="C275" s="293"/>
      <c r="D275" s="293"/>
      <c r="E275" s="293"/>
      <c r="F275" s="293"/>
      <c r="G275" s="293"/>
      <c r="H275" s="294"/>
      <c r="I275" s="295"/>
      <c r="J275" s="697" t="s">
        <v>323</v>
      </c>
      <c r="K275" s="297"/>
      <c r="L275" s="465"/>
      <c r="M275" s="934"/>
      <c r="N275" s="749"/>
      <c r="O275" s="298"/>
    </row>
    <row r="276" spans="1:21" s="247" customFormat="1" ht="15" customHeight="1" thickBot="1">
      <c r="A276" s="396"/>
      <c r="B276" s="300"/>
      <c r="C276" s="301"/>
      <c r="D276" s="301"/>
      <c r="E276" s="301"/>
      <c r="F276" s="301"/>
      <c r="G276" s="301"/>
      <c r="H276" s="302"/>
      <c r="I276" s="303">
        <v>600.9</v>
      </c>
      <c r="J276" s="304" t="s">
        <v>437</v>
      </c>
      <c r="K276" s="305"/>
      <c r="L276" s="810"/>
      <c r="M276" s="931">
        <v>80461</v>
      </c>
      <c r="N276" s="749"/>
      <c r="O276" s="298"/>
    </row>
    <row r="277" spans="1:21" s="247" customFormat="1" ht="15" customHeight="1" thickBot="1">
      <c r="A277" s="396"/>
      <c r="B277" s="280"/>
      <c r="C277" s="281"/>
      <c r="D277" s="281"/>
      <c r="E277" s="281"/>
      <c r="F277" s="281"/>
      <c r="G277" s="281"/>
      <c r="H277" s="693">
        <v>601</v>
      </c>
      <c r="I277" s="283"/>
      <c r="J277" s="284" t="s">
        <v>328</v>
      </c>
      <c r="K277" s="820">
        <v>6660</v>
      </c>
      <c r="L277" s="285">
        <f>SUM(L278:L279)</f>
        <v>2220</v>
      </c>
      <c r="M277" s="719">
        <f>SUM(M278+M279)</f>
        <v>2077686</v>
      </c>
      <c r="N277" s="749"/>
      <c r="O277" s="298"/>
      <c r="S277" s="209"/>
      <c r="T277" s="209"/>
      <c r="U277" s="209"/>
    </row>
    <row r="278" spans="1:21" s="247" customFormat="1" ht="15" customHeight="1">
      <c r="A278" s="396"/>
      <c r="B278" s="306"/>
      <c r="C278" s="307"/>
      <c r="D278" s="307"/>
      <c r="E278" s="307"/>
      <c r="F278" s="307"/>
      <c r="G278" s="307"/>
      <c r="H278" s="308"/>
      <c r="I278" s="309">
        <v>601.01</v>
      </c>
      <c r="J278" s="696" t="s">
        <v>329</v>
      </c>
      <c r="K278" s="821">
        <v>6660</v>
      </c>
      <c r="L278" s="817">
        <v>2220</v>
      </c>
      <c r="M278" s="819">
        <v>1866185</v>
      </c>
      <c r="N278" s="749"/>
    </row>
    <row r="279" spans="1:21" s="247" customFormat="1" ht="15" customHeight="1" thickBot="1">
      <c r="A279" s="396"/>
      <c r="B279" s="300"/>
      <c r="C279" s="301"/>
      <c r="D279" s="301"/>
      <c r="E279" s="301"/>
      <c r="F279" s="301"/>
      <c r="G279" s="301"/>
      <c r="H279" s="302"/>
      <c r="I279" s="311">
        <v>601.11</v>
      </c>
      <c r="J279" s="698" t="s">
        <v>330</v>
      </c>
      <c r="K279" s="312"/>
      <c r="L279" s="467"/>
      <c r="M279" s="819">
        <v>211501</v>
      </c>
      <c r="N279" s="749"/>
      <c r="O279" s="298"/>
    </row>
    <row r="280" spans="1:21" s="247" customFormat="1" ht="16.5" customHeight="1" thickBot="1">
      <c r="A280" s="396"/>
      <c r="B280" s="313"/>
      <c r="C280" s="314"/>
      <c r="D280" s="314"/>
      <c r="E280" s="314"/>
      <c r="F280" s="314"/>
      <c r="G280" s="314"/>
      <c r="H280" s="693">
        <v>602</v>
      </c>
      <c r="I280" s="316"/>
      <c r="J280" s="284" t="s">
        <v>170</v>
      </c>
      <c r="K280" s="285">
        <f>SUM(K281+K288+K301+K316+K321+K324+K333+K339+K346+K349)</f>
        <v>20000</v>
      </c>
      <c r="L280" s="285">
        <f>SUM(L281+L288+L301+L316+L321+L324+L333+L339+L346+L349)</f>
        <v>12000</v>
      </c>
      <c r="M280" s="285">
        <f>SUM(M281+M288+M301+M316+M321+M324+M333+M339+M346+M349)</f>
        <v>10852948</v>
      </c>
      <c r="N280" s="749"/>
      <c r="O280" s="298"/>
      <c r="S280" s="319"/>
      <c r="T280" s="319"/>
      <c r="U280" s="319"/>
    </row>
    <row r="281" spans="1:21" s="247" customFormat="1" ht="15" customHeight="1" thickBot="1">
      <c r="A281" s="396"/>
      <c r="B281" s="320"/>
      <c r="C281" s="321"/>
      <c r="D281" s="321"/>
      <c r="E281" s="321"/>
      <c r="F281" s="321"/>
      <c r="G281" s="321"/>
      <c r="H281" s="322"/>
      <c r="I281" s="323">
        <v>6020</v>
      </c>
      <c r="J281" s="324" t="s">
        <v>331</v>
      </c>
      <c r="K281" s="822">
        <v>20000</v>
      </c>
      <c r="L281" s="822">
        <v>12000</v>
      </c>
      <c r="M281" s="476">
        <f>SUM(M282+M283+M284+M285+M286+M287)</f>
        <v>1166250</v>
      </c>
      <c r="N281" s="749"/>
      <c r="O281" s="682"/>
      <c r="P281" s="298"/>
      <c r="S281" s="149"/>
      <c r="T281" s="149"/>
      <c r="U281" s="149"/>
    </row>
    <row r="282" spans="1:21" s="247" customFormat="1" ht="15" customHeight="1">
      <c r="A282" s="383"/>
      <c r="B282" s="332"/>
      <c r="C282" s="333"/>
      <c r="D282" s="333"/>
      <c r="E282" s="333"/>
      <c r="F282" s="333"/>
      <c r="G282" s="333"/>
      <c r="H282" s="334"/>
      <c r="I282" s="335" t="s">
        <v>11</v>
      </c>
      <c r="J282" s="336" t="s">
        <v>172</v>
      </c>
      <c r="K282" s="337"/>
      <c r="L282" s="469"/>
      <c r="M282" s="469">
        <v>383600</v>
      </c>
      <c r="N282" s="836"/>
      <c r="O282" s="512"/>
      <c r="P282" s="512"/>
      <c r="Q282" s="513"/>
      <c r="R282" s="513"/>
      <c r="S282" s="512"/>
      <c r="T282" s="512"/>
      <c r="U282" s="149"/>
    </row>
    <row r="283" spans="1:21" s="247" customFormat="1" ht="15" customHeight="1">
      <c r="A283" s="396"/>
      <c r="B283" s="352"/>
      <c r="C283" s="353"/>
      <c r="D283" s="353"/>
      <c r="E283" s="353"/>
      <c r="F283" s="353"/>
      <c r="G283" s="353"/>
      <c r="H283" s="354"/>
      <c r="I283" s="360">
        <v>602.02</v>
      </c>
      <c r="J283" s="361" t="s">
        <v>332</v>
      </c>
      <c r="K283" s="357"/>
      <c r="L283" s="473"/>
      <c r="M283" s="473"/>
      <c r="N283" s="836"/>
      <c r="O283" s="149"/>
      <c r="S283" s="149"/>
      <c r="T283" s="149"/>
      <c r="U283" s="149"/>
    </row>
    <row r="284" spans="1:21" s="209" customFormat="1" ht="15" customHeight="1">
      <c r="A284" s="396"/>
      <c r="B284" s="339"/>
      <c r="C284" s="340"/>
      <c r="D284" s="340"/>
      <c r="E284" s="340"/>
      <c r="F284" s="340"/>
      <c r="G284" s="340"/>
      <c r="H284" s="150"/>
      <c r="I284" s="341">
        <v>602.03</v>
      </c>
      <c r="J284" s="342" t="s">
        <v>467</v>
      </c>
      <c r="K284" s="343"/>
      <c r="L284" s="470"/>
      <c r="M284" s="470">
        <v>453800</v>
      </c>
      <c r="N284" s="834"/>
      <c r="O284" s="149"/>
      <c r="P284" s="247"/>
      <c r="Q284" s="247"/>
      <c r="R284" s="247"/>
      <c r="S284" s="149"/>
      <c r="T284" s="149"/>
      <c r="U284" s="149"/>
    </row>
    <row r="285" spans="1:21" s="247" customFormat="1" ht="15" customHeight="1">
      <c r="A285" s="397"/>
      <c r="B285" s="339"/>
      <c r="C285" s="340"/>
      <c r="D285" s="340"/>
      <c r="E285" s="340"/>
      <c r="F285" s="340"/>
      <c r="G285" s="340"/>
      <c r="H285" s="150"/>
      <c r="I285" s="341">
        <v>602.04</v>
      </c>
      <c r="J285" s="342" t="s">
        <v>334</v>
      </c>
      <c r="K285" s="343"/>
      <c r="L285" s="470"/>
      <c r="M285" s="470"/>
      <c r="N285" s="749"/>
      <c r="O285" s="149"/>
      <c r="S285" s="149"/>
      <c r="T285" s="149"/>
      <c r="U285" s="149"/>
    </row>
    <row r="286" spans="1:21" s="247" customFormat="1" ht="15" customHeight="1">
      <c r="A286" s="163"/>
      <c r="B286" s="339"/>
      <c r="C286" s="340"/>
      <c r="D286" s="340"/>
      <c r="E286" s="340"/>
      <c r="F286" s="340"/>
      <c r="G286" s="340"/>
      <c r="H286" s="150"/>
      <c r="I286" s="341">
        <v>602.04999999999995</v>
      </c>
      <c r="J286" s="342" t="s">
        <v>476</v>
      </c>
      <c r="K286" s="343"/>
      <c r="L286" s="470"/>
      <c r="M286" s="470">
        <v>328850</v>
      </c>
      <c r="N286" s="749"/>
      <c r="O286" s="149"/>
      <c r="S286" s="149"/>
      <c r="T286" s="149"/>
      <c r="U286" s="149"/>
    </row>
    <row r="287" spans="1:21" s="319" customFormat="1" ht="15" customHeight="1" thickBot="1">
      <c r="A287" s="163"/>
      <c r="B287" s="345"/>
      <c r="C287" s="346"/>
      <c r="D287" s="346"/>
      <c r="E287" s="346"/>
      <c r="F287" s="346"/>
      <c r="G287" s="346"/>
      <c r="H287" s="164"/>
      <c r="I287" s="347">
        <v>602.09</v>
      </c>
      <c r="J287" s="348" t="s">
        <v>335</v>
      </c>
      <c r="K287" s="349"/>
      <c r="L287" s="471"/>
      <c r="M287" s="471"/>
      <c r="N287" s="837"/>
      <c r="O287" s="149"/>
      <c r="P287" s="247"/>
      <c r="Q287" s="247"/>
      <c r="R287" s="247"/>
      <c r="S287" s="149"/>
      <c r="T287" s="149"/>
      <c r="U287" s="149"/>
    </row>
    <row r="288" spans="1:21" ht="15" customHeight="1" thickBot="1">
      <c r="A288" s="163"/>
      <c r="B288" s="320"/>
      <c r="C288" s="321"/>
      <c r="D288" s="321"/>
      <c r="E288" s="321"/>
      <c r="F288" s="321"/>
      <c r="G288" s="321"/>
      <c r="H288" s="322"/>
      <c r="I288" s="323">
        <v>602.1</v>
      </c>
      <c r="J288" s="324" t="s">
        <v>336</v>
      </c>
      <c r="K288" s="351">
        <f>SUM(K289+K290+K291+K292+K293+K294+K295+K296+K297+K298+K299+K300)</f>
        <v>0</v>
      </c>
      <c r="L288" s="472">
        <f>SUM(L289+L290+L291+L292+L293+L294+L295+L296+L297+L298+L299+L300)</f>
        <v>0</v>
      </c>
      <c r="M288" s="472">
        <f>SUM(M289+M290+M291+M292+M293+M294+M295+M296+M297+M298+M299+M300)</f>
        <v>970896</v>
      </c>
      <c r="N288" s="838"/>
      <c r="P288" s="247"/>
      <c r="Q288" s="247"/>
      <c r="R288" s="247"/>
    </row>
    <row r="289" spans="1:18" ht="15" customHeight="1">
      <c r="A289" s="163"/>
      <c r="B289" s="352"/>
      <c r="C289" s="353"/>
      <c r="D289" s="353"/>
      <c r="E289" s="353"/>
      <c r="F289" s="353"/>
      <c r="G289" s="353"/>
      <c r="H289" s="354"/>
      <c r="I289" s="355">
        <v>602.1001</v>
      </c>
      <c r="J289" s="699" t="s">
        <v>337</v>
      </c>
      <c r="K289" s="357"/>
      <c r="L289" s="473"/>
      <c r="M289" s="473"/>
      <c r="N289" s="800"/>
      <c r="P289" s="247"/>
      <c r="Q289" s="247"/>
      <c r="R289" s="247"/>
    </row>
    <row r="290" spans="1:18" ht="15" customHeight="1">
      <c r="A290" s="163"/>
      <c r="B290" s="339"/>
      <c r="C290" s="340"/>
      <c r="D290" s="340"/>
      <c r="E290" s="340"/>
      <c r="F290" s="340"/>
      <c r="G290" s="340"/>
      <c r="H290" s="150"/>
      <c r="I290" s="358">
        <v>602.10019999999997</v>
      </c>
      <c r="J290" s="700" t="s">
        <v>338</v>
      </c>
      <c r="K290" s="343"/>
      <c r="L290" s="470"/>
      <c r="M290" s="470"/>
      <c r="N290" s="800"/>
      <c r="P290" s="247"/>
      <c r="Q290" s="247"/>
      <c r="R290" s="247"/>
    </row>
    <row r="291" spans="1:18" ht="15" customHeight="1">
      <c r="A291" s="163"/>
      <c r="B291" s="339"/>
      <c r="C291" s="340"/>
      <c r="D291" s="340"/>
      <c r="E291" s="340"/>
      <c r="F291" s="340"/>
      <c r="G291" s="340"/>
      <c r="H291" s="150"/>
      <c r="I291" s="358">
        <v>602.10029999999995</v>
      </c>
      <c r="J291" s="700" t="s">
        <v>339</v>
      </c>
      <c r="K291" s="343"/>
      <c r="L291" s="470"/>
      <c r="M291" s="470"/>
      <c r="N291" s="800"/>
      <c r="P291" s="247"/>
      <c r="Q291" s="247"/>
      <c r="R291" s="247"/>
    </row>
    <row r="292" spans="1:18" ht="15" customHeight="1">
      <c r="A292" s="163"/>
      <c r="B292" s="339"/>
      <c r="C292" s="340"/>
      <c r="D292" s="340"/>
      <c r="E292" s="340"/>
      <c r="F292" s="340"/>
      <c r="G292" s="340"/>
      <c r="H292" s="150"/>
      <c r="I292" s="358">
        <v>602.10040000000004</v>
      </c>
      <c r="J292" s="700" t="s">
        <v>340</v>
      </c>
      <c r="K292" s="343"/>
      <c r="L292" s="470"/>
      <c r="M292" s="470"/>
      <c r="N292" s="800"/>
      <c r="P292" s="247"/>
      <c r="Q292" s="247"/>
      <c r="R292" s="247"/>
    </row>
    <row r="293" spans="1:18" ht="15" customHeight="1">
      <c r="A293" s="163"/>
      <c r="B293" s="339"/>
      <c r="C293" s="340"/>
      <c r="D293" s="340"/>
      <c r="E293" s="340"/>
      <c r="F293" s="340"/>
      <c r="G293" s="340"/>
      <c r="H293" s="150"/>
      <c r="I293" s="358">
        <v>602.10050000000001</v>
      </c>
      <c r="J293" s="700" t="s">
        <v>341</v>
      </c>
      <c r="K293" s="343"/>
      <c r="L293" s="470"/>
      <c r="M293" s="470"/>
      <c r="N293" s="800"/>
      <c r="P293" s="298"/>
      <c r="Q293" s="247"/>
      <c r="R293" s="247"/>
    </row>
    <row r="294" spans="1:18" ht="15" customHeight="1">
      <c r="A294" s="163"/>
      <c r="B294" s="339"/>
      <c r="C294" s="340"/>
      <c r="D294" s="340"/>
      <c r="E294" s="340"/>
      <c r="F294" s="340"/>
      <c r="G294" s="340"/>
      <c r="H294" s="150"/>
      <c r="I294" s="358">
        <v>602.10059999999999</v>
      </c>
      <c r="J294" s="700" t="s">
        <v>342</v>
      </c>
      <c r="K294" s="343"/>
      <c r="L294" s="470"/>
      <c r="M294" s="470"/>
      <c r="N294" s="800"/>
      <c r="P294" s="247"/>
      <c r="Q294" s="247"/>
      <c r="R294" s="247"/>
    </row>
    <row r="295" spans="1:18" ht="15" customHeight="1">
      <c r="A295" s="163"/>
      <c r="B295" s="339"/>
      <c r="C295" s="340"/>
      <c r="D295" s="340"/>
      <c r="E295" s="340"/>
      <c r="F295" s="340"/>
      <c r="G295" s="340"/>
      <c r="H295" s="150"/>
      <c r="I295" s="358">
        <v>602.10069999999996</v>
      </c>
      <c r="J295" s="700" t="s">
        <v>469</v>
      </c>
      <c r="K295" s="343"/>
      <c r="L295" s="470"/>
      <c r="M295" s="470"/>
      <c r="N295" s="801"/>
      <c r="O295" s="804"/>
      <c r="P295" s="247"/>
      <c r="Q295" s="247"/>
      <c r="R295" s="247"/>
    </row>
    <row r="296" spans="1:18" ht="15" customHeight="1">
      <c r="A296" s="163"/>
      <c r="B296" s="339"/>
      <c r="C296" s="340"/>
      <c r="D296" s="340"/>
      <c r="E296" s="340"/>
      <c r="F296" s="340"/>
      <c r="G296" s="340"/>
      <c r="H296" s="150"/>
      <c r="I296" s="358">
        <v>602.10080000000005</v>
      </c>
      <c r="J296" s="700" t="s">
        <v>343</v>
      </c>
      <c r="K296" s="343"/>
      <c r="L296" s="470"/>
      <c r="M296" s="470"/>
      <c r="N296" s="800"/>
      <c r="O296" s="840"/>
      <c r="P296" s="247"/>
      <c r="Q296" s="247"/>
      <c r="R296" s="247"/>
    </row>
    <row r="297" spans="1:18" ht="15" customHeight="1">
      <c r="A297" s="163"/>
      <c r="B297" s="339"/>
      <c r="C297" s="340"/>
      <c r="D297" s="340"/>
      <c r="E297" s="340"/>
      <c r="F297" s="340"/>
      <c r="G297" s="340"/>
      <c r="H297" s="150"/>
      <c r="I297" s="358">
        <v>602.10090000000002</v>
      </c>
      <c r="J297" s="700" t="s">
        <v>344</v>
      </c>
      <c r="K297" s="344"/>
      <c r="L297" s="474"/>
      <c r="M297" s="474"/>
      <c r="N297" s="800"/>
      <c r="O297" s="841"/>
      <c r="P297" s="247"/>
      <c r="Q297" s="247"/>
      <c r="R297" s="247"/>
    </row>
    <row r="298" spans="1:18" ht="15" customHeight="1">
      <c r="A298" s="163"/>
      <c r="B298" s="339"/>
      <c r="C298" s="340"/>
      <c r="D298" s="340"/>
      <c r="E298" s="340"/>
      <c r="F298" s="340"/>
      <c r="G298" s="340"/>
      <c r="H298" s="150"/>
      <c r="I298" s="358">
        <v>602.101</v>
      </c>
      <c r="J298" s="700" t="s">
        <v>345</v>
      </c>
      <c r="K298" s="344"/>
      <c r="L298" s="474"/>
      <c r="M298" s="474"/>
      <c r="N298" s="800"/>
      <c r="O298" s="842"/>
      <c r="Q298" s="247"/>
      <c r="R298" s="247"/>
    </row>
    <row r="299" spans="1:18" ht="15" customHeight="1">
      <c r="A299" s="163"/>
      <c r="B299" s="339"/>
      <c r="C299" s="340"/>
      <c r="D299" s="340"/>
      <c r="E299" s="340"/>
      <c r="F299" s="340"/>
      <c r="G299" s="340"/>
      <c r="H299" s="150"/>
      <c r="I299" s="341">
        <v>602.10109999999997</v>
      </c>
      <c r="J299" s="700" t="s">
        <v>490</v>
      </c>
      <c r="K299" s="344"/>
      <c r="L299" s="474"/>
      <c r="M299" s="474">
        <v>174776</v>
      </c>
      <c r="N299" s="800"/>
      <c r="O299" s="802"/>
      <c r="Q299" s="247"/>
      <c r="R299" s="247"/>
    </row>
    <row r="300" spans="1:18" ht="15" customHeight="1" thickBot="1">
      <c r="A300" s="163"/>
      <c r="B300" s="367"/>
      <c r="C300" s="368"/>
      <c r="D300" s="368"/>
      <c r="E300" s="368"/>
      <c r="F300" s="368"/>
      <c r="G300" s="368"/>
      <c r="H300" s="369"/>
      <c r="I300" s="370">
        <v>602.10990000000004</v>
      </c>
      <c r="J300" s="701" t="s">
        <v>468</v>
      </c>
      <c r="K300" s="378"/>
      <c r="L300" s="475"/>
      <c r="M300" s="475">
        <v>796120</v>
      </c>
      <c r="N300" s="800"/>
      <c r="Q300" s="247"/>
      <c r="R300" s="247"/>
    </row>
    <row r="301" spans="1:18" ht="15" customHeight="1" thickBot="1">
      <c r="A301" s="163"/>
      <c r="B301" s="320"/>
      <c r="C301" s="321"/>
      <c r="D301" s="321"/>
      <c r="E301" s="321"/>
      <c r="F301" s="321"/>
      <c r="G301" s="321"/>
      <c r="H301" s="322"/>
      <c r="I301" s="323">
        <v>602.20000000000005</v>
      </c>
      <c r="J301" s="324" t="s">
        <v>348</v>
      </c>
      <c r="K301" s="351">
        <f>SUM(K302+K303+K304+K305+K306+K307+K308+K309+K310+K311+K312+K313+K314+K315)</f>
        <v>0</v>
      </c>
      <c r="L301" s="722">
        <f>SUM(L302+L303+L304+L307+L308+L309+L310+L311+L312+L313+L314+L315)</f>
        <v>0</v>
      </c>
      <c r="M301" s="722">
        <f>SUM(M302+M303+M304+M307+M308+M309+M310+M311+M312+M313+M314+M315)</f>
        <v>1367193</v>
      </c>
      <c r="N301" s="800"/>
      <c r="Q301" s="247"/>
      <c r="R301" s="247"/>
    </row>
    <row r="302" spans="1:18" ht="15" customHeight="1">
      <c r="A302" s="163"/>
      <c r="B302" s="352"/>
      <c r="C302" s="353"/>
      <c r="D302" s="353"/>
      <c r="E302" s="353"/>
      <c r="F302" s="353"/>
      <c r="G302" s="353"/>
      <c r="H302" s="354"/>
      <c r="I302" s="360">
        <v>602.20010000000002</v>
      </c>
      <c r="J302" s="361" t="s">
        <v>192</v>
      </c>
      <c r="K302" s="362"/>
      <c r="L302" s="755"/>
      <c r="M302" s="755">
        <v>489178</v>
      </c>
      <c r="N302" s="800"/>
      <c r="Q302" s="247"/>
      <c r="R302" s="247"/>
    </row>
    <row r="303" spans="1:18" ht="15" customHeight="1">
      <c r="A303" s="163"/>
      <c r="B303" s="339"/>
      <c r="C303" s="340"/>
      <c r="D303" s="340"/>
      <c r="E303" s="340"/>
      <c r="F303" s="340"/>
      <c r="G303" s="340"/>
      <c r="H303" s="150"/>
      <c r="I303" s="341">
        <v>602.2002</v>
      </c>
      <c r="J303" s="342" t="s">
        <v>349</v>
      </c>
      <c r="K303" s="344"/>
      <c r="L303" s="474">
        <v>0</v>
      </c>
      <c r="M303" s="474">
        <v>0</v>
      </c>
      <c r="N303" s="800"/>
      <c r="Q303" s="247"/>
      <c r="R303" s="247"/>
    </row>
    <row r="304" spans="1:18" ht="15" customHeight="1">
      <c r="A304" s="163"/>
      <c r="B304" s="339"/>
      <c r="C304" s="340"/>
      <c r="D304" s="340"/>
      <c r="E304" s="340"/>
      <c r="F304" s="340"/>
      <c r="G304" s="340"/>
      <c r="H304" s="150"/>
      <c r="I304" s="341">
        <v>602.20029999999997</v>
      </c>
      <c r="J304" s="342" t="s">
        <v>350</v>
      </c>
      <c r="K304" s="344"/>
      <c r="L304" s="478">
        <f>L305+L306</f>
        <v>0</v>
      </c>
      <c r="M304" s="478">
        <f>M305+M306</f>
        <v>403738</v>
      </c>
      <c r="N304" s="802"/>
      <c r="Q304" s="247"/>
      <c r="R304" s="247"/>
    </row>
    <row r="305" spans="1:20" ht="15" customHeight="1">
      <c r="A305" s="163"/>
      <c r="B305" s="339"/>
      <c r="C305" s="340"/>
      <c r="D305" s="340"/>
      <c r="E305" s="340"/>
      <c r="F305" s="340"/>
      <c r="G305" s="340"/>
      <c r="H305" s="150"/>
      <c r="I305" s="341"/>
      <c r="J305" s="906" t="s">
        <v>473</v>
      </c>
      <c r="K305" s="344"/>
      <c r="L305" s="764"/>
      <c r="M305" s="908">
        <v>283738</v>
      </c>
      <c r="N305" s="802"/>
      <c r="Q305" s="247"/>
      <c r="R305" s="247"/>
    </row>
    <row r="306" spans="1:20" ht="15" customHeight="1">
      <c r="A306" s="163"/>
      <c r="B306" s="339"/>
      <c r="C306" s="340"/>
      <c r="D306" s="340"/>
      <c r="E306" s="340"/>
      <c r="F306" s="340"/>
      <c r="G306" s="340"/>
      <c r="H306" s="150"/>
      <c r="I306" s="341"/>
      <c r="J306" s="907" t="s">
        <v>474</v>
      </c>
      <c r="K306" s="344"/>
      <c r="L306" s="765"/>
      <c r="M306" s="909">
        <v>120000</v>
      </c>
      <c r="N306" s="802"/>
      <c r="Q306" s="247"/>
      <c r="R306" s="247"/>
    </row>
    <row r="307" spans="1:20" ht="15" customHeight="1">
      <c r="A307" s="163"/>
      <c r="B307" s="339"/>
      <c r="C307" s="340"/>
      <c r="D307" s="340"/>
      <c r="E307" s="340"/>
      <c r="F307" s="340"/>
      <c r="G307" s="340"/>
      <c r="H307" s="150"/>
      <c r="I307" s="341">
        <v>602.20039999999995</v>
      </c>
      <c r="J307" s="342" t="s">
        <v>351</v>
      </c>
      <c r="K307" s="344"/>
      <c r="L307" s="754"/>
      <c r="M307" s="754">
        <v>131160</v>
      </c>
      <c r="N307" s="802"/>
      <c r="Q307" s="247"/>
      <c r="R307" s="247"/>
    </row>
    <row r="308" spans="1:20" ht="15" customHeight="1">
      <c r="A308" s="163"/>
      <c r="B308" s="339"/>
      <c r="C308" s="340"/>
      <c r="D308" s="340"/>
      <c r="E308" s="340"/>
      <c r="F308" s="340"/>
      <c r="G308" s="340"/>
      <c r="H308" s="150"/>
      <c r="I308" s="341">
        <v>602.20050000000003</v>
      </c>
      <c r="J308" s="342" t="s">
        <v>352</v>
      </c>
      <c r="K308" s="344"/>
      <c r="L308" s="474"/>
      <c r="M308" s="474">
        <v>250720</v>
      </c>
      <c r="N308" s="799"/>
      <c r="Q308" s="247"/>
      <c r="R308" s="247"/>
    </row>
    <row r="309" spans="1:20" ht="15" customHeight="1">
      <c r="A309" s="163"/>
      <c r="B309" s="339"/>
      <c r="C309" s="340"/>
      <c r="D309" s="340"/>
      <c r="E309" s="340"/>
      <c r="F309" s="340"/>
      <c r="G309" s="340"/>
      <c r="H309" s="150"/>
      <c r="I309" s="341">
        <v>602.20060000000001</v>
      </c>
      <c r="J309" s="342" t="s">
        <v>353</v>
      </c>
      <c r="K309" s="344"/>
      <c r="L309" s="474"/>
      <c r="M309" s="474"/>
      <c r="N309" s="803"/>
      <c r="Q309" s="247"/>
      <c r="R309" s="247"/>
    </row>
    <row r="310" spans="1:20" ht="15" customHeight="1">
      <c r="A310" s="163"/>
      <c r="B310" s="339"/>
      <c r="C310" s="340"/>
      <c r="D310" s="340"/>
      <c r="E310" s="340"/>
      <c r="F310" s="340"/>
      <c r="G310" s="340"/>
      <c r="H310" s="150"/>
      <c r="I310" s="341">
        <v>602.20069999999998</v>
      </c>
      <c r="J310" s="342" t="s">
        <v>354</v>
      </c>
      <c r="K310" s="344"/>
      <c r="L310" s="783"/>
      <c r="M310" s="783">
        <v>50</v>
      </c>
      <c r="N310" s="802"/>
      <c r="Q310" s="247"/>
      <c r="R310" s="247"/>
    </row>
    <row r="311" spans="1:20" ht="15" customHeight="1">
      <c r="A311" s="163"/>
      <c r="B311" s="339"/>
      <c r="C311" s="340"/>
      <c r="D311" s="340"/>
      <c r="E311" s="340"/>
      <c r="F311" s="340"/>
      <c r="G311" s="340"/>
      <c r="H311" s="150"/>
      <c r="I311" s="341">
        <v>602.20079999999996</v>
      </c>
      <c r="J311" s="342" t="s">
        <v>355</v>
      </c>
      <c r="K311" s="344"/>
      <c r="L311" s="474"/>
      <c r="M311" s="474"/>
      <c r="N311" s="804"/>
      <c r="Q311" s="247"/>
      <c r="R311" s="247"/>
    </row>
    <row r="312" spans="1:20" ht="15" customHeight="1">
      <c r="A312" s="163"/>
      <c r="B312" s="339"/>
      <c r="C312" s="340"/>
      <c r="D312" s="340"/>
      <c r="E312" s="340"/>
      <c r="F312" s="340"/>
      <c r="G312" s="340"/>
      <c r="H312" s="150"/>
      <c r="I312" s="341">
        <v>602.20090000000005</v>
      </c>
      <c r="J312" s="342" t="s">
        <v>356</v>
      </c>
      <c r="K312" s="344"/>
      <c r="L312" s="474"/>
      <c r="M312" s="474"/>
      <c r="N312" s="750"/>
      <c r="Q312" s="247"/>
      <c r="R312" s="247"/>
    </row>
    <row r="313" spans="1:20" ht="15" customHeight="1">
      <c r="A313" s="163"/>
      <c r="B313" s="339"/>
      <c r="C313" s="340"/>
      <c r="D313" s="340"/>
      <c r="E313" s="340"/>
      <c r="F313" s="340"/>
      <c r="G313" s="340"/>
      <c r="H313" s="150"/>
      <c r="I313" s="341">
        <v>602.20100000000002</v>
      </c>
      <c r="J313" s="342" t="s">
        <v>357</v>
      </c>
      <c r="K313" s="344"/>
      <c r="L313" s="474"/>
      <c r="M313" s="474">
        <v>23947</v>
      </c>
      <c r="N313" s="751"/>
      <c r="Q313" s="247"/>
      <c r="R313" s="247"/>
    </row>
    <row r="314" spans="1:20" ht="15" customHeight="1">
      <c r="A314" s="163"/>
      <c r="B314" s="339"/>
      <c r="C314" s="340"/>
      <c r="D314" s="340"/>
      <c r="E314" s="340"/>
      <c r="F314" s="340"/>
      <c r="G314" s="340"/>
      <c r="H314" s="150"/>
      <c r="I314" s="341">
        <v>602.20110000000102</v>
      </c>
      <c r="J314" s="342" t="s">
        <v>204</v>
      </c>
      <c r="K314" s="344"/>
      <c r="L314" s="474"/>
      <c r="M314" s="474">
        <v>68400</v>
      </c>
      <c r="N314" s="383"/>
      <c r="Q314" s="247"/>
      <c r="R314" s="247"/>
    </row>
    <row r="315" spans="1:20" ht="15" customHeight="1" thickBot="1">
      <c r="A315" s="163"/>
      <c r="B315" s="345"/>
      <c r="C315" s="346"/>
      <c r="D315" s="346"/>
      <c r="E315" s="346"/>
      <c r="F315" s="346"/>
      <c r="G315" s="346"/>
      <c r="H315" s="164"/>
      <c r="I315" s="347">
        <v>602.20989999999995</v>
      </c>
      <c r="J315" s="348" t="s">
        <v>491</v>
      </c>
      <c r="K315" s="350"/>
      <c r="L315" s="475"/>
      <c r="M315" s="475"/>
      <c r="N315" s="802"/>
      <c r="O315" s="512"/>
      <c r="P315" s="512"/>
      <c r="Q315" s="513"/>
      <c r="R315" s="513"/>
      <c r="S315" s="512"/>
      <c r="T315" s="512"/>
    </row>
    <row r="316" spans="1:20" ht="15" customHeight="1" thickBot="1">
      <c r="A316" s="163"/>
      <c r="B316" s="320"/>
      <c r="C316" s="321"/>
      <c r="D316" s="321"/>
      <c r="E316" s="321"/>
      <c r="F316" s="321"/>
      <c r="G316" s="321"/>
      <c r="H316" s="322"/>
      <c r="I316" s="323">
        <v>6023</v>
      </c>
      <c r="J316" s="324" t="s">
        <v>206</v>
      </c>
      <c r="K316" s="351">
        <f>SUM(K317+K318+K319+K320)</f>
        <v>0</v>
      </c>
      <c r="L316" s="476">
        <f>SUM(L317+L318+L319+L320)</f>
        <v>0</v>
      </c>
      <c r="M316" s="476">
        <f>SUM(M317:M320)</f>
        <v>2786796</v>
      </c>
      <c r="N316" s="802"/>
      <c r="O316" s="512"/>
      <c r="P316" s="512"/>
      <c r="Q316" s="513"/>
      <c r="R316" s="247"/>
    </row>
    <row r="317" spans="1:20" ht="15" customHeight="1">
      <c r="A317" s="163"/>
      <c r="B317" s="352"/>
      <c r="C317" s="353"/>
      <c r="D317" s="353"/>
      <c r="E317" s="353"/>
      <c r="F317" s="353"/>
      <c r="G317" s="353"/>
      <c r="H317" s="354"/>
      <c r="I317" s="360">
        <v>602.30999999999995</v>
      </c>
      <c r="J317" s="361" t="s">
        <v>207</v>
      </c>
      <c r="K317" s="362"/>
      <c r="L317" s="477"/>
      <c r="M317" s="477">
        <v>2655636</v>
      </c>
      <c r="N317" s="802"/>
      <c r="O317" s="512"/>
      <c r="P317" s="512"/>
      <c r="Q317" s="513"/>
      <c r="R317" s="247"/>
    </row>
    <row r="318" spans="1:20" ht="15" customHeight="1">
      <c r="A318" s="163"/>
      <c r="B318" s="339"/>
      <c r="C318" s="340"/>
      <c r="D318" s="340"/>
      <c r="E318" s="340"/>
      <c r="F318" s="340"/>
      <c r="G318" s="340"/>
      <c r="H318" s="150"/>
      <c r="I318" s="341">
        <v>602.32000000000005</v>
      </c>
      <c r="J318" s="342" t="s">
        <v>359</v>
      </c>
      <c r="K318" s="344"/>
      <c r="L318" s="474"/>
      <c r="M318" s="474">
        <v>131160</v>
      </c>
      <c r="N318" s="802"/>
      <c r="O318" s="512"/>
      <c r="P318" s="512"/>
      <c r="Q318" s="513"/>
      <c r="R318" s="247"/>
    </row>
    <row r="319" spans="1:20" ht="15" customHeight="1">
      <c r="A319" s="163"/>
      <c r="B319" s="339"/>
      <c r="C319" s="340"/>
      <c r="D319" s="340"/>
      <c r="E319" s="340"/>
      <c r="F319" s="340"/>
      <c r="G319" s="340"/>
      <c r="H319" s="150"/>
      <c r="I319" s="341">
        <v>602.33000000000004</v>
      </c>
      <c r="J319" s="342" t="s">
        <v>360</v>
      </c>
      <c r="K319" s="344"/>
      <c r="L319" s="474"/>
      <c r="M319" s="474"/>
      <c r="N319" s="802"/>
      <c r="O319" s="512"/>
      <c r="P319" s="512"/>
      <c r="Q319" s="513"/>
      <c r="R319" s="247"/>
    </row>
    <row r="320" spans="1:20" ht="15" customHeight="1" thickBot="1">
      <c r="A320" s="163"/>
      <c r="B320" s="345"/>
      <c r="C320" s="346"/>
      <c r="D320" s="346"/>
      <c r="E320" s="346"/>
      <c r="F320" s="346"/>
      <c r="G320" s="346"/>
      <c r="H320" s="164"/>
      <c r="I320" s="347">
        <v>602.39</v>
      </c>
      <c r="J320" s="348" t="s">
        <v>361</v>
      </c>
      <c r="K320" s="350"/>
      <c r="L320" s="798"/>
      <c r="M320" s="798"/>
      <c r="N320" s="802"/>
      <c r="O320" s="512"/>
      <c r="P320" s="512"/>
      <c r="Q320" s="513"/>
      <c r="R320" s="247"/>
    </row>
    <row r="321" spans="1:18" ht="15" customHeight="1" thickBot="1">
      <c r="A321" s="163"/>
      <c r="B321" s="320"/>
      <c r="C321" s="321"/>
      <c r="D321" s="321"/>
      <c r="E321" s="321"/>
      <c r="F321" s="321"/>
      <c r="G321" s="321"/>
      <c r="H321" s="322"/>
      <c r="I321" s="323">
        <v>602.4</v>
      </c>
      <c r="J321" s="324" t="s">
        <v>362</v>
      </c>
      <c r="K321" s="351">
        <f>SUM(K322+K323)</f>
        <v>0</v>
      </c>
      <c r="L321" s="476">
        <f>SUM(L322+L323)</f>
        <v>0</v>
      </c>
      <c r="M321" s="476">
        <f>SUM(M322:M323)</f>
        <v>2444425</v>
      </c>
      <c r="N321" s="802"/>
      <c r="O321" s="512"/>
      <c r="P321" s="512"/>
      <c r="Q321" s="513"/>
      <c r="R321" s="247"/>
    </row>
    <row r="322" spans="1:18" ht="15" customHeight="1">
      <c r="A322" s="163"/>
      <c r="B322" s="352"/>
      <c r="C322" s="353"/>
      <c r="D322" s="353"/>
      <c r="E322" s="353"/>
      <c r="F322" s="353"/>
      <c r="G322" s="353"/>
      <c r="H322" s="354"/>
      <c r="I322" s="360">
        <v>602.4</v>
      </c>
      <c r="J322" s="361" t="s">
        <v>363</v>
      </c>
      <c r="K322" s="362"/>
      <c r="L322" s="712"/>
      <c r="M322" s="712">
        <v>2444425</v>
      </c>
      <c r="N322" s="802"/>
      <c r="O322" s="512"/>
      <c r="P322" s="512"/>
      <c r="Q322" s="513"/>
      <c r="R322" s="247"/>
    </row>
    <row r="323" spans="1:18" ht="15" customHeight="1" thickBot="1">
      <c r="A323" s="163"/>
      <c r="B323" s="345"/>
      <c r="C323" s="346"/>
      <c r="D323" s="346"/>
      <c r="E323" s="346"/>
      <c r="F323" s="346"/>
      <c r="G323" s="346"/>
      <c r="H323" s="164"/>
      <c r="I323" s="347">
        <v>602.41</v>
      </c>
      <c r="J323" s="348" t="s">
        <v>364</v>
      </c>
      <c r="K323" s="350"/>
      <c r="L323" s="797"/>
      <c r="M323" s="797"/>
      <c r="N323" s="799"/>
      <c r="O323" s="512"/>
      <c r="P323" s="512"/>
      <c r="Q323" s="513"/>
      <c r="R323" s="247"/>
    </row>
    <row r="324" spans="1:18" ht="15" customHeight="1" thickBot="1">
      <c r="A324" s="163"/>
      <c r="B324" s="320"/>
      <c r="C324" s="321"/>
      <c r="D324" s="321"/>
      <c r="E324" s="321"/>
      <c r="F324" s="321"/>
      <c r="G324" s="321"/>
      <c r="H324" s="322"/>
      <c r="I324" s="323">
        <v>602.5</v>
      </c>
      <c r="J324" s="324" t="s">
        <v>365</v>
      </c>
      <c r="K324" s="351">
        <f>SUM(K325+K326+K327+K328+K329+K330+K331+K332)</f>
        <v>0</v>
      </c>
      <c r="L324" s="472">
        <f>SUM(L325+L326+L327+L328+L329+L330+L331+L332)</f>
        <v>0</v>
      </c>
      <c r="M324" s="472">
        <f>SUM(M325:M332)</f>
        <v>466888</v>
      </c>
      <c r="N324" s="804"/>
      <c r="O324" s="512"/>
      <c r="P324" s="512"/>
      <c r="Q324" s="513"/>
      <c r="R324" s="247"/>
    </row>
    <row r="325" spans="1:18" ht="15" customHeight="1">
      <c r="A325" s="163"/>
      <c r="B325" s="352"/>
      <c r="C325" s="353"/>
      <c r="D325" s="353"/>
      <c r="E325" s="353"/>
      <c r="F325" s="353"/>
      <c r="G325" s="353"/>
      <c r="H325" s="354"/>
      <c r="I325" s="360">
        <v>602.5</v>
      </c>
      <c r="J325" s="361" t="s">
        <v>366</v>
      </c>
      <c r="K325" s="364"/>
      <c r="L325" s="481"/>
      <c r="M325" s="481"/>
      <c r="N325" s="802"/>
      <c r="Q325" s="247"/>
      <c r="R325" s="247"/>
    </row>
    <row r="326" spans="1:18" ht="15" customHeight="1">
      <c r="A326" s="163"/>
      <c r="B326" s="339"/>
      <c r="C326" s="340"/>
      <c r="D326" s="340"/>
      <c r="E326" s="340"/>
      <c r="F326" s="340"/>
      <c r="G326" s="340"/>
      <c r="H326" s="150"/>
      <c r="I326" s="341">
        <v>602.51</v>
      </c>
      <c r="J326" s="342" t="s">
        <v>367</v>
      </c>
      <c r="K326" s="365"/>
      <c r="L326" s="482"/>
      <c r="M326" s="482"/>
      <c r="N326" s="802"/>
      <c r="Q326" s="247"/>
      <c r="R326" s="247"/>
    </row>
    <row r="327" spans="1:18" ht="15" customHeight="1">
      <c r="A327" s="163"/>
      <c r="B327" s="339"/>
      <c r="C327" s="340"/>
      <c r="D327" s="340"/>
      <c r="E327" s="340"/>
      <c r="F327" s="340"/>
      <c r="G327" s="340"/>
      <c r="H327" s="150"/>
      <c r="I327" s="341">
        <v>602.52</v>
      </c>
      <c r="J327" s="342" t="s">
        <v>368</v>
      </c>
      <c r="K327" s="365"/>
      <c r="L327" s="482"/>
      <c r="M327" s="482">
        <v>466888</v>
      </c>
      <c r="N327" s="802"/>
      <c r="Q327" s="247"/>
      <c r="R327" s="247"/>
    </row>
    <row r="328" spans="1:18" ht="15" customHeight="1" thickBot="1">
      <c r="A328" s="163"/>
      <c r="B328" s="367"/>
      <c r="C328" s="368"/>
      <c r="D328" s="368"/>
      <c r="E328" s="368"/>
      <c r="F328" s="368"/>
      <c r="G328" s="368"/>
      <c r="H328" s="369"/>
      <c r="I328" s="370">
        <v>602.53</v>
      </c>
      <c r="J328" s="371" t="s">
        <v>369</v>
      </c>
      <c r="K328" s="372"/>
      <c r="L328" s="483"/>
      <c r="M328" s="483"/>
      <c r="N328" s="799"/>
      <c r="Q328" s="247"/>
      <c r="R328" s="247"/>
    </row>
    <row r="329" spans="1:18" ht="15" customHeight="1">
      <c r="A329" s="163"/>
      <c r="B329" s="332"/>
      <c r="C329" s="333"/>
      <c r="D329" s="333"/>
      <c r="E329" s="333"/>
      <c r="F329" s="333"/>
      <c r="G329" s="333"/>
      <c r="H329" s="334"/>
      <c r="I329" s="335">
        <v>602.54</v>
      </c>
      <c r="J329" s="336" t="s">
        <v>405</v>
      </c>
      <c r="K329" s="373"/>
      <c r="L329" s="469"/>
      <c r="M329" s="469"/>
      <c r="N329" s="140"/>
      <c r="Q329" s="247"/>
      <c r="R329" s="247"/>
    </row>
    <row r="330" spans="1:18" ht="15" customHeight="1">
      <c r="A330" s="163"/>
      <c r="B330" s="339"/>
      <c r="C330" s="340"/>
      <c r="D330" s="340"/>
      <c r="E330" s="340"/>
      <c r="F330" s="340"/>
      <c r="G330" s="340"/>
      <c r="H330" s="150"/>
      <c r="I330" s="341">
        <v>602.54999999999995</v>
      </c>
      <c r="J330" s="342" t="s">
        <v>370</v>
      </c>
      <c r="K330" s="365"/>
      <c r="L330" s="710"/>
      <c r="M330" s="710"/>
      <c r="N330" s="802"/>
      <c r="Q330" s="247"/>
      <c r="R330" s="247"/>
    </row>
    <row r="331" spans="1:18" ht="15" customHeight="1">
      <c r="A331" s="163"/>
      <c r="B331" s="339"/>
      <c r="C331" s="340"/>
      <c r="D331" s="340"/>
      <c r="E331" s="340"/>
      <c r="F331" s="340"/>
      <c r="G331" s="340"/>
      <c r="H331" s="150"/>
      <c r="I331" s="341">
        <v>602.55999999999995</v>
      </c>
      <c r="J331" s="342" t="s">
        <v>371</v>
      </c>
      <c r="K331" s="365"/>
      <c r="L331" s="482"/>
      <c r="M331" s="482"/>
      <c r="N331" s="801"/>
      <c r="Q331" s="247"/>
      <c r="R331" s="247"/>
    </row>
    <row r="332" spans="1:18" ht="15" customHeight="1" thickBot="1">
      <c r="A332" s="163"/>
      <c r="B332" s="345"/>
      <c r="C332" s="346"/>
      <c r="D332" s="346"/>
      <c r="E332" s="346"/>
      <c r="F332" s="346"/>
      <c r="G332" s="346"/>
      <c r="H332" s="164"/>
      <c r="I332" s="347">
        <v>602.58000000000004</v>
      </c>
      <c r="J332" s="348" t="s">
        <v>372</v>
      </c>
      <c r="K332" s="374"/>
      <c r="L332" s="711"/>
      <c r="M332" s="711"/>
      <c r="N332" s="801"/>
      <c r="Q332" s="247"/>
      <c r="R332" s="247"/>
    </row>
    <row r="333" spans="1:18" ht="15" customHeight="1" thickBot="1">
      <c r="A333" s="163"/>
      <c r="B333" s="320"/>
      <c r="C333" s="321"/>
      <c r="D333" s="321"/>
      <c r="E333" s="321"/>
      <c r="F333" s="321"/>
      <c r="G333" s="321"/>
      <c r="H333" s="322"/>
      <c r="I333" s="323">
        <v>602.6</v>
      </c>
      <c r="J333" s="324" t="s">
        <v>373</v>
      </c>
      <c r="K333" s="376">
        <f>SUM(K334+K335+K336+K337+K338)</f>
        <v>0</v>
      </c>
      <c r="L333" s="485">
        <f>SUM(L334+L335+L336+L337+L338)</f>
        <v>0</v>
      </c>
      <c r="M333" s="485">
        <f>SUM(M334+M335+M336+M337+M338)</f>
        <v>66000</v>
      </c>
      <c r="N333" s="801"/>
      <c r="Q333" s="247"/>
      <c r="R333" s="247"/>
    </row>
    <row r="334" spans="1:18" ht="15" customHeight="1">
      <c r="A334" s="163"/>
      <c r="B334" s="352"/>
      <c r="C334" s="353"/>
      <c r="D334" s="353"/>
      <c r="E334" s="353"/>
      <c r="F334" s="353"/>
      <c r="G334" s="353"/>
      <c r="H334" s="354"/>
      <c r="I334" s="360">
        <v>602.61</v>
      </c>
      <c r="J334" s="361" t="s">
        <v>374</v>
      </c>
      <c r="K334" s="364"/>
      <c r="L334" s="481"/>
      <c r="M334" s="481">
        <v>30000</v>
      </c>
      <c r="N334" s="801"/>
      <c r="Q334" s="247"/>
      <c r="R334" s="247"/>
    </row>
    <row r="335" spans="1:18" ht="15" customHeight="1">
      <c r="A335" s="163"/>
      <c r="B335" s="339"/>
      <c r="C335" s="340"/>
      <c r="D335" s="340"/>
      <c r="E335" s="340"/>
      <c r="F335" s="340"/>
      <c r="G335" s="340"/>
      <c r="H335" s="150"/>
      <c r="I335" s="341">
        <v>602.62</v>
      </c>
      <c r="J335" s="342" t="s">
        <v>375</v>
      </c>
      <c r="K335" s="365"/>
      <c r="L335" s="482"/>
      <c r="M335" s="482"/>
      <c r="N335" s="801"/>
      <c r="Q335" s="247"/>
      <c r="R335" s="247"/>
    </row>
    <row r="336" spans="1:18" ht="15" customHeight="1">
      <c r="A336" s="163"/>
      <c r="B336" s="339"/>
      <c r="C336" s="340"/>
      <c r="D336" s="340"/>
      <c r="E336" s="340"/>
      <c r="F336" s="340"/>
      <c r="G336" s="340"/>
      <c r="H336" s="150"/>
      <c r="I336" s="341">
        <v>602.63</v>
      </c>
      <c r="J336" s="342" t="s">
        <v>376</v>
      </c>
      <c r="K336" s="365"/>
      <c r="L336" s="482"/>
      <c r="M336" s="482"/>
      <c r="N336" s="801"/>
      <c r="Q336" s="247"/>
      <c r="R336" s="247"/>
    </row>
    <row r="337" spans="1:18" ht="15" customHeight="1">
      <c r="A337" s="163"/>
      <c r="B337" s="339"/>
      <c r="C337" s="340"/>
      <c r="D337" s="340"/>
      <c r="E337" s="340"/>
      <c r="F337" s="340"/>
      <c r="G337" s="340"/>
      <c r="H337" s="150"/>
      <c r="I337" s="341">
        <v>602.64</v>
      </c>
      <c r="J337" s="342" t="s">
        <v>377</v>
      </c>
      <c r="K337" s="365"/>
      <c r="L337" s="482"/>
      <c r="M337" s="482">
        <v>36000</v>
      </c>
      <c r="N337" s="140"/>
      <c r="Q337" s="247"/>
      <c r="R337" s="247"/>
    </row>
    <row r="338" spans="1:18" ht="15" customHeight="1" thickBot="1">
      <c r="A338" s="163"/>
      <c r="B338" s="345"/>
      <c r="C338" s="346"/>
      <c r="D338" s="346"/>
      <c r="E338" s="346"/>
      <c r="F338" s="346"/>
      <c r="G338" s="346"/>
      <c r="H338" s="164"/>
      <c r="I338" s="347">
        <v>602.69000000000005</v>
      </c>
      <c r="J338" s="348" t="s">
        <v>378</v>
      </c>
      <c r="K338" s="374"/>
      <c r="L338" s="486"/>
      <c r="M338" s="486"/>
      <c r="N338" s="801"/>
      <c r="Q338" s="247"/>
      <c r="R338" s="247"/>
    </row>
    <row r="339" spans="1:18" ht="15" customHeight="1" thickBot="1">
      <c r="A339" s="163"/>
      <c r="B339" s="320"/>
      <c r="C339" s="321"/>
      <c r="D339" s="321"/>
      <c r="E339" s="321"/>
      <c r="F339" s="321"/>
      <c r="G339" s="321"/>
      <c r="H339" s="322"/>
      <c r="I339" s="377">
        <v>602.70000000000005</v>
      </c>
      <c r="J339" s="324" t="s">
        <v>379</v>
      </c>
      <c r="K339" s="376">
        <f>SUM(K340+K341+K342+K343+K344+K345)</f>
        <v>0</v>
      </c>
      <c r="L339" s="485">
        <f>SUM(L340+L341+L342+L343+L344+L345)</f>
        <v>0</v>
      </c>
      <c r="M339" s="485">
        <f>SUM(M340:M345)</f>
        <v>1051000</v>
      </c>
      <c r="N339" s="140"/>
    </row>
    <row r="340" spans="1:18" ht="15" customHeight="1">
      <c r="A340" s="163"/>
      <c r="B340" s="352"/>
      <c r="C340" s="353"/>
      <c r="D340" s="353"/>
      <c r="E340" s="353"/>
      <c r="F340" s="353"/>
      <c r="G340" s="353"/>
      <c r="H340" s="354"/>
      <c r="I340" s="360">
        <v>602.71</v>
      </c>
      <c r="J340" s="361" t="s">
        <v>380</v>
      </c>
      <c r="K340" s="364"/>
      <c r="L340" s="481"/>
      <c r="M340" s="481"/>
      <c r="N340" s="804"/>
    </row>
    <row r="341" spans="1:18" ht="15" customHeight="1">
      <c r="A341" s="163"/>
      <c r="B341" s="339"/>
      <c r="C341" s="340"/>
      <c r="D341" s="340"/>
      <c r="E341" s="340"/>
      <c r="F341" s="340"/>
      <c r="G341" s="340"/>
      <c r="H341" s="150"/>
      <c r="I341" s="341">
        <v>602.72</v>
      </c>
      <c r="J341" s="342" t="s">
        <v>381</v>
      </c>
      <c r="K341" s="365"/>
      <c r="L341" s="482"/>
      <c r="M341" s="482"/>
      <c r="N341" s="801"/>
    </row>
    <row r="342" spans="1:18" ht="15" customHeight="1">
      <c r="A342" s="163"/>
      <c r="B342" s="339"/>
      <c r="C342" s="340"/>
      <c r="D342" s="340"/>
      <c r="E342" s="340"/>
      <c r="F342" s="340"/>
      <c r="G342" s="340"/>
      <c r="H342" s="150"/>
      <c r="I342" s="341">
        <v>602.73</v>
      </c>
      <c r="J342" s="342" t="s">
        <v>382</v>
      </c>
      <c r="K342" s="365"/>
      <c r="L342" s="482"/>
      <c r="M342" s="482"/>
      <c r="N342" s="801"/>
    </row>
    <row r="343" spans="1:18" ht="15" customHeight="1">
      <c r="A343" s="163"/>
      <c r="B343" s="339"/>
      <c r="C343" s="340"/>
      <c r="D343" s="340"/>
      <c r="E343" s="340"/>
      <c r="F343" s="340"/>
      <c r="G343" s="340"/>
      <c r="H343" s="150"/>
      <c r="I343" s="341">
        <v>602.74</v>
      </c>
      <c r="J343" s="342" t="s">
        <v>383</v>
      </c>
      <c r="K343" s="365"/>
      <c r="L343" s="781"/>
      <c r="M343" s="781">
        <v>1051000</v>
      </c>
      <c r="N343" s="801"/>
    </row>
    <row r="344" spans="1:18" ht="15" customHeight="1">
      <c r="A344" s="163"/>
      <c r="B344" s="339"/>
      <c r="C344" s="340"/>
      <c r="D344" s="340"/>
      <c r="E344" s="340"/>
      <c r="F344" s="340"/>
      <c r="G344" s="340"/>
      <c r="H344" s="150"/>
      <c r="I344" s="341">
        <v>602.75</v>
      </c>
      <c r="J344" s="342" t="s">
        <v>384</v>
      </c>
      <c r="K344" s="365"/>
      <c r="L344" s="482"/>
      <c r="M344" s="482"/>
      <c r="N344" s="801"/>
    </row>
    <row r="345" spans="1:18" ht="15" customHeight="1" thickBot="1">
      <c r="A345" s="163"/>
      <c r="B345" s="345"/>
      <c r="C345" s="346"/>
      <c r="D345" s="346"/>
      <c r="E345" s="346"/>
      <c r="F345" s="346"/>
      <c r="G345" s="346"/>
      <c r="H345" s="164"/>
      <c r="I345" s="347">
        <v>602.79</v>
      </c>
      <c r="J345" s="348" t="s">
        <v>385</v>
      </c>
      <c r="K345" s="374"/>
      <c r="L345" s="486"/>
      <c r="M345" s="486"/>
      <c r="N345" s="801"/>
    </row>
    <row r="346" spans="1:18" ht="15" customHeight="1" thickBot="1">
      <c r="A346" s="163"/>
      <c r="B346" s="320"/>
      <c r="C346" s="321"/>
      <c r="D346" s="321"/>
      <c r="E346" s="321"/>
      <c r="F346" s="321"/>
      <c r="G346" s="321"/>
      <c r="H346" s="322"/>
      <c r="I346" s="377">
        <v>602.79999999999995</v>
      </c>
      <c r="J346" s="324" t="s">
        <v>386</v>
      </c>
      <c r="K346" s="376">
        <f>SUM(K347+K348)</f>
        <v>0</v>
      </c>
      <c r="L346" s="485">
        <f>SUM(L347+L348)</f>
        <v>0</v>
      </c>
      <c r="M346" s="485">
        <f>SUM(M347+M348)</f>
        <v>0</v>
      </c>
      <c r="N346" s="804"/>
    </row>
    <row r="347" spans="1:18" ht="15" customHeight="1">
      <c r="A347" s="163"/>
      <c r="B347" s="352"/>
      <c r="C347" s="353"/>
      <c r="D347" s="353"/>
      <c r="E347" s="353"/>
      <c r="F347" s="353"/>
      <c r="G347" s="353"/>
      <c r="H347" s="354"/>
      <c r="I347" s="360">
        <v>602.80999999999995</v>
      </c>
      <c r="J347" s="361" t="s">
        <v>387</v>
      </c>
      <c r="K347" s="357"/>
      <c r="L347" s="473"/>
      <c r="M347" s="473"/>
      <c r="N347" s="801"/>
    </row>
    <row r="348" spans="1:18" ht="15" customHeight="1" thickBot="1">
      <c r="A348" s="163"/>
      <c r="B348" s="345"/>
      <c r="C348" s="346"/>
      <c r="D348" s="346"/>
      <c r="E348" s="346"/>
      <c r="F348" s="346"/>
      <c r="G348" s="346"/>
      <c r="H348" s="164"/>
      <c r="I348" s="347">
        <v>602.82000000000005</v>
      </c>
      <c r="J348" s="348" t="s">
        <v>388</v>
      </c>
      <c r="K348" s="349"/>
      <c r="L348" s="471"/>
      <c r="M348" s="471"/>
      <c r="N348" s="801"/>
    </row>
    <row r="349" spans="1:18" ht="15" customHeight="1" thickBot="1">
      <c r="A349" s="163"/>
      <c r="B349" s="320"/>
      <c r="C349" s="321"/>
      <c r="D349" s="321"/>
      <c r="E349" s="321"/>
      <c r="F349" s="321"/>
      <c r="G349" s="321"/>
      <c r="H349" s="322"/>
      <c r="I349" s="323">
        <v>602.9</v>
      </c>
      <c r="J349" s="324" t="s">
        <v>389</v>
      </c>
      <c r="K349" s="376">
        <f>SUM(K350+K351+K352+K353+K354+K355+K356+K357+K358)</f>
        <v>0</v>
      </c>
      <c r="L349" s="485">
        <f>SUM(L350+L351+L352+L353+L354+L355+L356+L357+L358)</f>
        <v>0</v>
      </c>
      <c r="M349" s="485">
        <f>SUM(M350+M351+M352+M353+M354+M355+M356+M357+M358)</f>
        <v>533500</v>
      </c>
      <c r="N349" s="801"/>
    </row>
    <row r="350" spans="1:18" ht="15" customHeight="1">
      <c r="A350" s="163"/>
      <c r="B350" s="332"/>
      <c r="C350" s="333"/>
      <c r="D350" s="333"/>
      <c r="E350" s="333"/>
      <c r="F350" s="333"/>
      <c r="G350" s="333"/>
      <c r="H350" s="334"/>
      <c r="I350" s="335">
        <v>602.90009999999995</v>
      </c>
      <c r="J350" s="336" t="s">
        <v>390</v>
      </c>
      <c r="K350" s="338"/>
      <c r="L350" s="487"/>
      <c r="M350" s="487"/>
      <c r="N350" s="801"/>
    </row>
    <row r="351" spans="1:18" ht="15" customHeight="1">
      <c r="A351" s="163"/>
      <c r="B351" s="339"/>
      <c r="C351" s="340"/>
      <c r="D351" s="340"/>
      <c r="E351" s="340"/>
      <c r="F351" s="340"/>
      <c r="G351" s="340"/>
      <c r="H351" s="150"/>
      <c r="I351" s="341">
        <v>602.90020000000004</v>
      </c>
      <c r="J351" s="342" t="s">
        <v>392</v>
      </c>
      <c r="K351" s="344"/>
      <c r="L351" s="474"/>
      <c r="M351" s="474"/>
      <c r="N351" s="801"/>
    </row>
    <row r="352" spans="1:18" ht="15" customHeight="1">
      <c r="A352" s="163"/>
      <c r="B352" s="339"/>
      <c r="C352" s="340"/>
      <c r="D352" s="340"/>
      <c r="E352" s="340"/>
      <c r="F352" s="340"/>
      <c r="G352" s="340"/>
      <c r="H352" s="150"/>
      <c r="I352" s="341">
        <v>602.90030000000002</v>
      </c>
      <c r="J352" s="342" t="s">
        <v>391</v>
      </c>
      <c r="K352" s="344"/>
      <c r="L352" s="474"/>
      <c r="M352" s="474"/>
      <c r="N352" s="801"/>
    </row>
    <row r="353" spans="1:18" ht="15" customHeight="1">
      <c r="A353" s="163"/>
      <c r="B353" s="339"/>
      <c r="C353" s="340"/>
      <c r="D353" s="340"/>
      <c r="E353" s="340"/>
      <c r="F353" s="340"/>
      <c r="G353" s="340"/>
      <c r="H353" s="150"/>
      <c r="I353" s="341">
        <v>602.90039999999999</v>
      </c>
      <c r="J353" s="342" t="s">
        <v>393</v>
      </c>
      <c r="K353" s="344"/>
      <c r="L353" s="474"/>
      <c r="M353" s="474"/>
      <c r="N353" s="804"/>
    </row>
    <row r="354" spans="1:18" ht="15" customHeight="1">
      <c r="A354" s="163"/>
      <c r="B354" s="339"/>
      <c r="C354" s="340"/>
      <c r="D354" s="340"/>
      <c r="E354" s="340"/>
      <c r="F354" s="340"/>
      <c r="G354" s="340"/>
      <c r="H354" s="150"/>
      <c r="I354" s="341">
        <v>602.90049999999997</v>
      </c>
      <c r="J354" s="342" t="s">
        <v>394</v>
      </c>
      <c r="K354" s="344"/>
      <c r="L354" s="474"/>
      <c r="M354" s="474">
        <v>533500</v>
      </c>
      <c r="N354" s="800">
        <f>P346</f>
        <v>0</v>
      </c>
    </row>
    <row r="355" spans="1:18" ht="15" customHeight="1">
      <c r="A355" s="163"/>
      <c r="B355" s="339"/>
      <c r="C355" s="340"/>
      <c r="D355" s="340"/>
      <c r="E355" s="340"/>
      <c r="F355" s="340"/>
      <c r="G355" s="340"/>
      <c r="H355" s="150"/>
      <c r="I355" s="341">
        <v>602.90060000000005</v>
      </c>
      <c r="J355" s="342" t="s">
        <v>395</v>
      </c>
      <c r="K355" s="344"/>
      <c r="L355" s="474"/>
      <c r="M355" s="474"/>
      <c r="N355" s="800"/>
    </row>
    <row r="356" spans="1:18" ht="15" customHeight="1">
      <c r="A356" s="163"/>
      <c r="B356" s="339"/>
      <c r="C356" s="340"/>
      <c r="D356" s="340"/>
      <c r="E356" s="340"/>
      <c r="F356" s="340"/>
      <c r="G356" s="340"/>
      <c r="H356" s="150"/>
      <c r="I356" s="341">
        <v>602.90070000000003</v>
      </c>
      <c r="J356" s="342" t="s">
        <v>396</v>
      </c>
      <c r="K356" s="343"/>
      <c r="L356" s="470"/>
      <c r="M356" s="470"/>
      <c r="N356" s="804"/>
    </row>
    <row r="357" spans="1:18" ht="15" customHeight="1">
      <c r="A357" s="163"/>
      <c r="B357" s="339"/>
      <c r="C357" s="340"/>
      <c r="D357" s="340"/>
      <c r="E357" s="340"/>
      <c r="F357" s="340"/>
      <c r="G357" s="340"/>
      <c r="H357" s="150"/>
      <c r="I357" s="341">
        <v>602.90080000000103</v>
      </c>
      <c r="J357" s="342" t="s">
        <v>397</v>
      </c>
      <c r="K357" s="344"/>
      <c r="L357" s="474"/>
      <c r="M357" s="474"/>
      <c r="N357" s="802"/>
    </row>
    <row r="358" spans="1:18" ht="15" customHeight="1" thickBot="1">
      <c r="A358" s="163"/>
      <c r="B358" s="345"/>
      <c r="C358" s="346"/>
      <c r="D358" s="346"/>
      <c r="E358" s="346"/>
      <c r="F358" s="346"/>
      <c r="G358" s="346"/>
      <c r="H358" s="164"/>
      <c r="I358" s="347">
        <v>602.900900000001</v>
      </c>
      <c r="J358" s="348" t="s">
        <v>398</v>
      </c>
      <c r="K358" s="350"/>
      <c r="L358" s="480"/>
      <c r="M358" s="480"/>
      <c r="N358" s="802"/>
    </row>
    <row r="359" spans="1:18" ht="15" customHeight="1" thickBot="1">
      <c r="A359" s="163"/>
      <c r="B359" s="732"/>
      <c r="C359" s="733"/>
      <c r="D359" s="733"/>
      <c r="E359" s="733"/>
      <c r="F359" s="733"/>
      <c r="G359" s="776"/>
      <c r="H359" s="777">
        <v>606</v>
      </c>
      <c r="I359" s="735">
        <v>606.91</v>
      </c>
      <c r="J359" s="736" t="s">
        <v>406</v>
      </c>
      <c r="K359" s="737"/>
      <c r="L359" s="725"/>
      <c r="M359" s="725"/>
      <c r="N359" s="802"/>
    </row>
    <row r="360" spans="1:18" ht="15" customHeight="1" thickBot="1">
      <c r="A360" s="163"/>
      <c r="B360" s="385"/>
      <c r="C360" s="386"/>
      <c r="D360" s="386"/>
      <c r="E360" s="692">
        <v>6</v>
      </c>
      <c r="F360" s="386"/>
      <c r="G360" s="778">
        <v>10430</v>
      </c>
      <c r="H360" s="779">
        <v>231</v>
      </c>
      <c r="I360" s="390"/>
      <c r="J360" s="391" t="s">
        <v>435</v>
      </c>
      <c r="K360" s="388"/>
      <c r="L360" s="388"/>
      <c r="M360" s="388"/>
      <c r="N360" s="802"/>
    </row>
    <row r="361" spans="1:18" ht="15" customHeight="1">
      <c r="A361" s="163"/>
      <c r="B361" s="5"/>
      <c r="C361" s="163"/>
      <c r="D361" s="163"/>
      <c r="E361" s="741"/>
      <c r="F361" s="163"/>
      <c r="G361" s="844"/>
      <c r="H361" s="845"/>
      <c r="I361" s="163"/>
      <c r="J361" s="744"/>
      <c r="K361" s="380"/>
      <c r="L361" s="380"/>
      <c r="M361" s="380"/>
      <c r="N361" s="802"/>
    </row>
    <row r="362" spans="1:18" ht="15.95" customHeight="1">
      <c r="A362" s="163"/>
      <c r="B362" s="224"/>
      <c r="C362" s="703" t="s">
        <v>401</v>
      </c>
      <c r="D362" s="163"/>
      <c r="E362" s="163"/>
      <c r="F362" s="163"/>
      <c r="G362" s="163"/>
      <c r="H362" s="163"/>
      <c r="I362" s="163"/>
      <c r="J362" s="379"/>
      <c r="K362" s="380"/>
      <c r="L362" s="488"/>
      <c r="M362" s="488"/>
      <c r="N362" s="802"/>
    </row>
    <row r="363" spans="1:18" ht="15.95" customHeight="1">
      <c r="A363" s="163"/>
      <c r="B363" s="224"/>
      <c r="C363" s="703" t="s">
        <v>433</v>
      </c>
      <c r="D363" s="163"/>
      <c r="E363" s="163"/>
      <c r="F363" s="163"/>
      <c r="G363" s="163"/>
      <c r="H363" s="163"/>
      <c r="I363" s="163"/>
      <c r="J363" s="379"/>
      <c r="K363" s="382"/>
      <c r="L363" s="490"/>
      <c r="M363" s="490"/>
      <c r="N363" s="802"/>
    </row>
    <row r="364" spans="1:18" ht="15.95" customHeight="1">
      <c r="A364" s="163"/>
      <c r="B364" s="224"/>
      <c r="C364" s="163"/>
      <c r="D364" s="383" t="s">
        <v>402</v>
      </c>
      <c r="E364" s="383"/>
      <c r="F364" s="383"/>
      <c r="G364" s="383"/>
      <c r="H364" s="163"/>
      <c r="J364" s="384" t="s">
        <v>411</v>
      </c>
      <c r="K364" s="488"/>
      <c r="L364" s="488"/>
      <c r="M364" s="488"/>
      <c r="N364" s="800"/>
    </row>
    <row r="365" spans="1:18" ht="15.95" customHeight="1">
      <c r="A365" s="163"/>
      <c r="B365" s="224"/>
      <c r="C365" s="163"/>
      <c r="D365" s="704" t="s">
        <v>439</v>
      </c>
      <c r="E365" s="383"/>
      <c r="F365" s="383"/>
      <c r="G365" s="383"/>
      <c r="H365" s="383"/>
      <c r="I365" s="383"/>
      <c r="J365" s="149"/>
      <c r="K365" s="702" t="s">
        <v>440</v>
      </c>
      <c r="L365" s="489"/>
      <c r="M365" s="489"/>
      <c r="N365" s="802"/>
    </row>
    <row r="366" spans="1:18" ht="15.95" customHeight="1">
      <c r="A366" s="163"/>
      <c r="B366" s="163"/>
      <c r="C366" s="163"/>
      <c r="D366" s="163"/>
      <c r="E366" s="163"/>
      <c r="F366" s="163"/>
      <c r="G366" s="163"/>
      <c r="H366" s="163"/>
      <c r="I366" s="163"/>
      <c r="J366" s="5"/>
      <c r="K366" s="381"/>
      <c r="L366" s="489"/>
      <c r="M366" s="489"/>
      <c r="N366" s="802"/>
    </row>
    <row r="367" spans="1:18" ht="15">
      <c r="A367" s="394"/>
      <c r="B367" s="394"/>
      <c r="C367" s="823"/>
      <c r="D367" s="823"/>
      <c r="E367" s="824"/>
      <c r="F367" s="824"/>
      <c r="G367" s="824"/>
      <c r="H367" s="824"/>
      <c r="I367" s="824"/>
      <c r="J367" s="824"/>
      <c r="K367" s="823"/>
      <c r="L367" s="452"/>
      <c r="M367" s="452"/>
      <c r="N367" s="452"/>
      <c r="O367" s="220"/>
      <c r="P367" s="220"/>
      <c r="Q367" s="220"/>
      <c r="R367" s="220"/>
    </row>
    <row r="368" spans="1:18" ht="15">
      <c r="A368" s="163"/>
      <c r="B368" s="163"/>
      <c r="C368" s="163"/>
      <c r="D368" s="163"/>
      <c r="E368" s="163"/>
      <c r="F368" s="163"/>
      <c r="G368" s="163"/>
      <c r="H368" s="163"/>
      <c r="I368" s="163"/>
      <c r="J368" s="379"/>
      <c r="K368" s="382"/>
      <c r="L368" s="490"/>
      <c r="M368" s="490"/>
      <c r="N368" s="490"/>
    </row>
    <row r="369" spans="1:16" ht="12.6" customHeight="1">
      <c r="A369" s="163"/>
      <c r="B369" s="163"/>
      <c r="C369" s="210"/>
      <c r="D369" s="210"/>
      <c r="E369" s="210"/>
      <c r="F369" s="210"/>
      <c r="G369" s="210"/>
      <c r="H369" s="211"/>
      <c r="I369" s="211"/>
      <c r="J369" s="211"/>
      <c r="K369" s="211"/>
      <c r="L369" s="212"/>
      <c r="M369" s="212"/>
      <c r="N369" s="488"/>
    </row>
    <row r="370" spans="1:16" ht="12.6" customHeight="1">
      <c r="B370" s="163"/>
      <c r="C370" s="210"/>
      <c r="D370" s="210"/>
      <c r="E370" s="210"/>
      <c r="F370" s="210"/>
      <c r="G370" s="210"/>
      <c r="H370" s="210"/>
      <c r="I370" s="830"/>
      <c r="J370" s="845"/>
      <c r="K370" s="830"/>
      <c r="L370" s="835"/>
      <c r="M370" s="835"/>
      <c r="N370" s="489"/>
    </row>
    <row r="371" spans="1:16" ht="12.6" customHeight="1">
      <c r="B371" s="216"/>
      <c r="C371" s="217"/>
      <c r="D371" s="217"/>
      <c r="E371" s="218"/>
      <c r="F371" s="218"/>
      <c r="G371" s="218"/>
      <c r="H371" s="218"/>
      <c r="I371" s="911"/>
      <c r="J371" s="911"/>
      <c r="K371" s="912"/>
      <c r="L371" s="913"/>
      <c r="M371" s="913"/>
      <c r="N371" s="489"/>
    </row>
    <row r="372" spans="1:16" ht="12.6" customHeight="1">
      <c r="B372" s="221"/>
      <c r="C372" s="218" t="s">
        <v>301</v>
      </c>
      <c r="D372" s="218"/>
      <c r="E372" s="218"/>
      <c r="F372" s="218"/>
      <c r="G372" s="218"/>
      <c r="H372" s="218"/>
      <c r="I372" s="911"/>
      <c r="J372" s="914"/>
      <c r="K372" s="911"/>
      <c r="L372" s="913"/>
      <c r="M372" s="913"/>
      <c r="N372" s="489"/>
    </row>
    <row r="373" spans="1:16" ht="12.6" customHeight="1">
      <c r="B373" s="221"/>
      <c r="C373" s="218" t="s">
        <v>415</v>
      </c>
      <c r="D373" s="218"/>
      <c r="E373" s="218"/>
      <c r="F373" s="223"/>
      <c r="G373" s="218"/>
      <c r="H373" s="218"/>
      <c r="I373" s="911"/>
      <c r="J373" s="911"/>
      <c r="K373" s="913"/>
      <c r="L373" s="914"/>
      <c r="M373" s="913"/>
      <c r="N373" s="683"/>
    </row>
    <row r="374" spans="1:16" ht="12.6" customHeight="1">
      <c r="A374" s="163"/>
      <c r="B374" s="224"/>
      <c r="C374" s="224"/>
      <c r="E374" s="224"/>
      <c r="F374" s="224"/>
      <c r="G374" s="392" t="s">
        <v>416</v>
      </c>
      <c r="H374" s="224"/>
      <c r="I374" s="915"/>
      <c r="J374" s="65"/>
      <c r="K374" s="916"/>
      <c r="L374" s="917"/>
      <c r="M374" s="917"/>
      <c r="N374" s="211"/>
    </row>
    <row r="375" spans="1:16" ht="12.6" customHeight="1">
      <c r="A375" s="394"/>
      <c r="B375" s="5"/>
      <c r="C375" s="383" t="s">
        <v>300</v>
      </c>
      <c r="D375" s="226"/>
      <c r="E375" s="5"/>
      <c r="F375" s="163"/>
      <c r="G375" s="226"/>
      <c r="H375" s="214"/>
      <c r="I375" s="910"/>
      <c r="J375" s="918"/>
      <c r="K375" s="912" t="s">
        <v>493</v>
      </c>
      <c r="L375" s="919"/>
      <c r="M375" s="919"/>
      <c r="N375" s="210"/>
    </row>
    <row r="376" spans="1:16" s="220" customFormat="1" ht="12.6" customHeight="1">
      <c r="A376" s="395"/>
      <c r="B376" s="233"/>
      <c r="C376" s="233"/>
      <c r="D376" s="237"/>
      <c r="E376" s="233"/>
      <c r="F376" s="233"/>
      <c r="G376" s="234"/>
      <c r="H376" s="235"/>
      <c r="I376" s="920"/>
      <c r="J376" s="921" t="s">
        <v>423</v>
      </c>
      <c r="K376" s="238"/>
      <c r="L376" s="456"/>
      <c r="M376" s="456"/>
      <c r="N376" s="452"/>
    </row>
    <row r="377" spans="1:16" s="223" customFormat="1" ht="24" customHeight="1" thickBot="1">
      <c r="A377" s="163"/>
      <c r="B377" s="239"/>
      <c r="C377" s="233"/>
      <c r="D377" s="233"/>
      <c r="E377" s="235"/>
      <c r="F377" s="235"/>
      <c r="G377" s="235"/>
      <c r="H377" s="235"/>
      <c r="I377" s="922"/>
      <c r="J377" s="924" t="s">
        <v>492</v>
      </c>
      <c r="K377" s="922"/>
      <c r="L377" s="739"/>
      <c r="M377" s="923"/>
      <c r="N377" s="453"/>
    </row>
    <row r="378" spans="1:16" s="223" customFormat="1" ht="80.25" thickBot="1">
      <c r="A378" s="163"/>
      <c r="B378" s="689" t="s">
        <v>137</v>
      </c>
      <c r="C378" s="690" t="s">
        <v>138</v>
      </c>
      <c r="D378" s="689" t="s">
        <v>139</v>
      </c>
      <c r="E378" s="689" t="s">
        <v>140</v>
      </c>
      <c r="F378" s="689" t="s">
        <v>141</v>
      </c>
      <c r="G378" s="689" t="s">
        <v>142</v>
      </c>
      <c r="H378" s="691" t="s">
        <v>126</v>
      </c>
      <c r="I378" s="689" t="s">
        <v>143</v>
      </c>
      <c r="J378" s="684" t="s">
        <v>304</v>
      </c>
      <c r="K378" s="245" t="s">
        <v>434</v>
      </c>
      <c r="L378" s="458" t="s">
        <v>292</v>
      </c>
      <c r="M378" s="685" t="s">
        <v>305</v>
      </c>
      <c r="N378" s="453"/>
    </row>
    <row r="379" spans="1:16" ht="13.5" customHeight="1" thickBot="1">
      <c r="A379" s="163"/>
      <c r="B379" s="248" t="s">
        <v>148</v>
      </c>
      <c r="C379" s="249">
        <v>25</v>
      </c>
      <c r="D379" s="517" t="s">
        <v>267</v>
      </c>
      <c r="E379" s="250">
        <v>1</v>
      </c>
      <c r="F379" s="250">
        <v>1111</v>
      </c>
      <c r="G379" s="694">
        <v>10430</v>
      </c>
      <c r="H379" s="251"/>
      <c r="I379" s="252"/>
      <c r="J379" s="687" t="s">
        <v>308</v>
      </c>
      <c r="K379" s="254">
        <f>SUM(K380+K381+K382+K383)</f>
        <v>0</v>
      </c>
      <c r="L379" s="459">
        <f>SUM(L380+L381+L382+L383)</f>
        <v>0</v>
      </c>
      <c r="M379" s="459"/>
      <c r="N379" s="210"/>
    </row>
    <row r="380" spans="1:16" ht="15" customHeight="1">
      <c r="A380" s="163"/>
      <c r="B380" s="255"/>
      <c r="C380" s="256"/>
      <c r="D380" s="256"/>
      <c r="E380" s="256">
        <v>1</v>
      </c>
      <c r="F380" s="256"/>
      <c r="G380" s="256"/>
      <c r="H380" s="257"/>
      <c r="I380" s="258"/>
      <c r="J380" s="259" t="s">
        <v>309</v>
      </c>
      <c r="K380" s="260"/>
      <c r="L380" s="460"/>
      <c r="M380" s="460"/>
      <c r="N380" s="826"/>
    </row>
    <row r="381" spans="1:16" ht="15" customHeight="1">
      <c r="A381" s="163"/>
      <c r="B381" s="262"/>
      <c r="C381" s="263"/>
      <c r="D381" s="263"/>
      <c r="E381" s="263">
        <v>5</v>
      </c>
      <c r="F381" s="263"/>
      <c r="G381" s="263"/>
      <c r="H381" s="264"/>
      <c r="I381" s="265"/>
      <c r="J381" s="266" t="s">
        <v>310</v>
      </c>
      <c r="K381" s="267"/>
      <c r="L381" s="461"/>
      <c r="M381" s="461"/>
      <c r="N381" s="826"/>
    </row>
    <row r="382" spans="1:16" ht="13.5" customHeight="1">
      <c r="A382" s="163"/>
      <c r="B382" s="262"/>
      <c r="C382" s="263"/>
      <c r="D382" s="263"/>
      <c r="E382" s="263">
        <v>5</v>
      </c>
      <c r="F382" s="263"/>
      <c r="G382" s="263"/>
      <c r="H382" s="264"/>
      <c r="I382" s="265"/>
      <c r="J382" s="266" t="s">
        <v>311</v>
      </c>
      <c r="K382" s="267"/>
      <c r="L382" s="461"/>
      <c r="M382" s="461"/>
      <c r="N382" s="826"/>
    </row>
    <row r="383" spans="1:16" ht="26.25" customHeight="1" thickBot="1">
      <c r="A383" s="396"/>
      <c r="B383" s="269"/>
      <c r="C383" s="270"/>
      <c r="D383" s="270"/>
      <c r="E383" s="270">
        <v>6</v>
      </c>
      <c r="F383" s="270"/>
      <c r="G383" s="270"/>
      <c r="H383" s="271"/>
      <c r="I383" s="272"/>
      <c r="J383" s="273" t="s">
        <v>312</v>
      </c>
      <c r="K383" s="274"/>
      <c r="L383" s="462"/>
      <c r="M383" s="462"/>
      <c r="N383" s="828"/>
    </row>
    <row r="384" spans="1:16" ht="22.5" customHeight="1" thickBot="1">
      <c r="A384" s="396"/>
      <c r="B384" s="276"/>
      <c r="C384" s="277"/>
      <c r="D384" s="277"/>
      <c r="E384" s="277"/>
      <c r="F384" s="277"/>
      <c r="G384" s="277"/>
      <c r="H384" s="277"/>
      <c r="I384" s="278"/>
      <c r="J384" s="688" t="s">
        <v>313</v>
      </c>
      <c r="K384" s="740">
        <f>SUM(K385+K400+K403+K482+K483)</f>
        <v>68360</v>
      </c>
      <c r="L384" s="574">
        <f>SUM(L385+L400+L403+L482+L483)</f>
        <v>34284</v>
      </c>
      <c r="M384" s="574">
        <f>SUM(M385+M400+M403+M482+M483)</f>
        <v>31711759</v>
      </c>
      <c r="N384" s="457"/>
      <c r="P384" s="682"/>
    </row>
    <row r="385" spans="1:21" s="247" customFormat="1" ht="21.75" customHeight="1" thickBot="1">
      <c r="A385" s="396"/>
      <c r="B385" s="280"/>
      <c r="C385" s="281"/>
      <c r="D385" s="281"/>
      <c r="E385" s="281"/>
      <c r="F385" s="281"/>
      <c r="G385" s="281"/>
      <c r="H385" s="693">
        <v>600</v>
      </c>
      <c r="I385" s="283"/>
      <c r="J385" s="284" t="s">
        <v>314</v>
      </c>
      <c r="K385" s="285">
        <f>SUM(K386+K387+K388+K389+K390+K391+K392+K393+K394+K395+K396+K397+K398+K399)</f>
        <v>41700</v>
      </c>
      <c r="L385" s="285">
        <f>L386+L396+L399</f>
        <v>18509</v>
      </c>
      <c r="M385" s="719">
        <f>M386+M396+M399</f>
        <v>16118290</v>
      </c>
      <c r="N385" s="829"/>
    </row>
    <row r="386" spans="1:21" s="247" customFormat="1" ht="15" customHeight="1">
      <c r="A386" s="396"/>
      <c r="B386" s="287"/>
      <c r="C386" s="288"/>
      <c r="D386" s="288"/>
      <c r="E386" s="288"/>
      <c r="F386" s="288"/>
      <c r="G386" s="288"/>
      <c r="H386" s="289"/>
      <c r="I386" s="290">
        <v>600.1</v>
      </c>
      <c r="J386" s="696" t="s">
        <v>315</v>
      </c>
      <c r="K386" s="817">
        <v>41700</v>
      </c>
      <c r="L386" s="747">
        <v>18509</v>
      </c>
      <c r="M386" s="932">
        <f>SUM(M387:M391)</f>
        <v>15969139</v>
      </c>
      <c r="N386" s="832"/>
    </row>
    <row r="387" spans="1:21" s="247" customFormat="1" ht="15" customHeight="1">
      <c r="A387" s="396"/>
      <c r="B387" s="292"/>
      <c r="C387" s="293"/>
      <c r="D387" s="293"/>
      <c r="E387" s="293"/>
      <c r="F387" s="293"/>
      <c r="G387" s="293"/>
      <c r="H387" s="294"/>
      <c r="I387" s="295">
        <v>600.1001</v>
      </c>
      <c r="J387" s="697" t="s">
        <v>316</v>
      </c>
      <c r="K387" s="297"/>
      <c r="L387" s="782"/>
      <c r="M387" s="933">
        <v>11630732</v>
      </c>
      <c r="N387" s="832"/>
      <c r="O387" s="930"/>
      <c r="P387" s="930"/>
    </row>
    <row r="388" spans="1:21" s="247" customFormat="1" ht="15" customHeight="1">
      <c r="A388" s="396"/>
      <c r="B388" s="292"/>
      <c r="C388" s="293"/>
      <c r="D388" s="293"/>
      <c r="E388" s="293"/>
      <c r="F388" s="293"/>
      <c r="G388" s="293"/>
      <c r="H388" s="294"/>
      <c r="I388" s="295">
        <v>600.10019999999997</v>
      </c>
      <c r="J388" s="697" t="s">
        <v>317</v>
      </c>
      <c r="K388" s="297"/>
      <c r="L388" s="782"/>
      <c r="M388" s="933">
        <v>14978</v>
      </c>
      <c r="N388" s="832"/>
      <c r="O388" s="930"/>
      <c r="P388" s="930"/>
    </row>
    <row r="389" spans="1:21" s="247" customFormat="1" ht="15" customHeight="1">
      <c r="A389" s="396"/>
      <c r="B389" s="292"/>
      <c r="C389" s="293"/>
      <c r="D389" s="293"/>
      <c r="E389" s="293"/>
      <c r="F389" s="293"/>
      <c r="G389" s="293"/>
      <c r="H389" s="294"/>
      <c r="I389" s="295">
        <v>600.10029999999995</v>
      </c>
      <c r="J389" s="697" t="s">
        <v>318</v>
      </c>
      <c r="K389" s="297"/>
      <c r="L389" s="782"/>
      <c r="M389" s="933">
        <v>899543</v>
      </c>
      <c r="N389" s="832"/>
      <c r="O389" s="930"/>
      <c r="P389" s="930"/>
    </row>
    <row r="390" spans="1:21" s="247" customFormat="1" ht="15" customHeight="1">
      <c r="A390" s="383"/>
      <c r="B390" s="292"/>
      <c r="C390" s="293"/>
      <c r="D390" s="293"/>
      <c r="E390" s="293"/>
      <c r="F390" s="293"/>
      <c r="G390" s="293"/>
      <c r="H390" s="294"/>
      <c r="I390" s="295">
        <v>600.10050000000001</v>
      </c>
      <c r="J390" s="296" t="s">
        <v>475</v>
      </c>
      <c r="K390" s="297"/>
      <c r="L390" s="782"/>
      <c r="M390" s="933">
        <v>3264768</v>
      </c>
      <c r="N390" s="832"/>
      <c r="O390" s="930"/>
      <c r="P390" s="930"/>
    </row>
    <row r="391" spans="1:21" s="247" customFormat="1" ht="15" customHeight="1">
      <c r="A391" s="396"/>
      <c r="B391" s="292"/>
      <c r="C391" s="293"/>
      <c r="D391" s="293"/>
      <c r="E391" s="293"/>
      <c r="F391" s="293"/>
      <c r="G391" s="293"/>
      <c r="H391" s="294"/>
      <c r="I391" s="295"/>
      <c r="J391" s="697" t="s">
        <v>326</v>
      </c>
      <c r="K391" s="297"/>
      <c r="L391" s="766"/>
      <c r="M391" s="933">
        <v>159118</v>
      </c>
      <c r="N391" s="832"/>
      <c r="O391" s="930"/>
      <c r="P391" s="930"/>
    </row>
    <row r="392" spans="1:21" s="209" customFormat="1" ht="15" customHeight="1">
      <c r="A392" s="396"/>
      <c r="B392" s="299"/>
      <c r="C392" s="293"/>
      <c r="D392" s="293"/>
      <c r="E392" s="293"/>
      <c r="F392" s="293"/>
      <c r="G392" s="293"/>
      <c r="H392" s="294"/>
      <c r="I392" s="295">
        <v>600.20000000000005</v>
      </c>
      <c r="J392" s="697" t="s">
        <v>320</v>
      </c>
      <c r="K392" s="297"/>
      <c r="L392" s="815"/>
      <c r="M392" s="464"/>
      <c r="N392" s="834"/>
      <c r="O392" s="298"/>
      <c r="P392" s="247"/>
      <c r="Q392" s="247"/>
      <c r="R392" s="247"/>
      <c r="S392" s="286"/>
    </row>
    <row r="393" spans="1:21" s="247" customFormat="1" ht="15" customHeight="1">
      <c r="A393" s="396"/>
      <c r="B393" s="299"/>
      <c r="C393" s="293"/>
      <c r="D393" s="293"/>
      <c r="E393" s="293"/>
      <c r="F393" s="293"/>
      <c r="G393" s="293"/>
      <c r="H393" s="294"/>
      <c r="I393" s="295">
        <v>600.21</v>
      </c>
      <c r="J393" s="697" t="s">
        <v>321</v>
      </c>
      <c r="K393" s="297"/>
      <c r="L393" s="464"/>
      <c r="M393" s="464"/>
      <c r="N393" s="749"/>
      <c r="O393" s="298"/>
    </row>
    <row r="394" spans="1:21" s="247" customFormat="1" ht="15" customHeight="1">
      <c r="A394" s="396"/>
      <c r="B394" s="299"/>
      <c r="C394" s="293"/>
      <c r="D394" s="293"/>
      <c r="E394" s="293"/>
      <c r="F394" s="293"/>
      <c r="G394" s="293"/>
      <c r="H394" s="294"/>
      <c r="I394" s="295">
        <v>600.22</v>
      </c>
      <c r="J394" s="697" t="s">
        <v>322</v>
      </c>
      <c r="K394" s="297"/>
      <c r="L394" s="464"/>
      <c r="M394" s="464"/>
      <c r="N394" s="749"/>
      <c r="O394" s="298"/>
    </row>
    <row r="395" spans="1:21" s="247" customFormat="1" ht="15" customHeight="1">
      <c r="A395" s="396"/>
      <c r="B395" s="299"/>
      <c r="C395" s="293"/>
      <c r="D395" s="293"/>
      <c r="E395" s="293"/>
      <c r="F395" s="293"/>
      <c r="G395" s="293"/>
      <c r="H395" s="294"/>
      <c r="I395" s="295">
        <v>600.29</v>
      </c>
      <c r="J395" s="697" t="s">
        <v>323</v>
      </c>
      <c r="K395" s="297"/>
      <c r="L395" s="464"/>
      <c r="M395" s="464"/>
      <c r="N395" s="749"/>
      <c r="O395" s="298"/>
    </row>
    <row r="396" spans="1:21" s="247" customFormat="1" ht="15" customHeight="1">
      <c r="A396" s="396"/>
      <c r="B396" s="299"/>
      <c r="C396" s="293"/>
      <c r="D396" s="293"/>
      <c r="E396" s="293"/>
      <c r="F396" s="293"/>
      <c r="G396" s="293"/>
      <c r="H396" s="294"/>
      <c r="I396" s="295">
        <v>600.29999999999995</v>
      </c>
      <c r="J396" s="697" t="s">
        <v>324</v>
      </c>
      <c r="K396" s="297"/>
      <c r="L396" s="464"/>
      <c r="M396" s="464">
        <v>49000</v>
      </c>
      <c r="N396" s="749"/>
      <c r="O396" s="298"/>
    </row>
    <row r="397" spans="1:21" s="247" customFormat="1" ht="15" customHeight="1">
      <c r="A397" s="396"/>
      <c r="B397" s="299"/>
      <c r="C397" s="293"/>
      <c r="D397" s="293"/>
      <c r="E397" s="293"/>
      <c r="F397" s="293"/>
      <c r="G397" s="293"/>
      <c r="H397" s="294"/>
      <c r="I397" s="295">
        <v>600.30999999999995</v>
      </c>
      <c r="J397" s="697" t="s">
        <v>325</v>
      </c>
      <c r="K397" s="297"/>
      <c r="L397" s="464"/>
      <c r="M397" s="464"/>
      <c r="N397" s="749"/>
      <c r="O397" s="298"/>
    </row>
    <row r="398" spans="1:21" s="247" customFormat="1" ht="15" customHeight="1" thickBot="1">
      <c r="A398" s="396"/>
      <c r="B398" s="299"/>
      <c r="C398" s="293"/>
      <c r="D398" s="293"/>
      <c r="E398" s="293"/>
      <c r="F398" s="293"/>
      <c r="G398" s="293"/>
      <c r="H398" s="294"/>
      <c r="I398" s="295"/>
      <c r="J398" s="697" t="s">
        <v>323</v>
      </c>
      <c r="K398" s="297"/>
      <c r="L398" s="465"/>
      <c r="M398" s="934"/>
      <c r="N398" s="749"/>
      <c r="O398" s="298"/>
    </row>
    <row r="399" spans="1:21" s="247" customFormat="1" ht="15" customHeight="1" thickBot="1">
      <c r="A399" s="396"/>
      <c r="B399" s="300"/>
      <c r="C399" s="301"/>
      <c r="D399" s="301"/>
      <c r="E399" s="301"/>
      <c r="F399" s="301"/>
      <c r="G399" s="301"/>
      <c r="H399" s="302"/>
      <c r="I399" s="303">
        <v>600.9</v>
      </c>
      <c r="J399" s="304" t="s">
        <v>437</v>
      </c>
      <c r="K399" s="305"/>
      <c r="L399" s="810"/>
      <c r="M399" s="931">
        <v>100151</v>
      </c>
      <c r="N399" s="749"/>
      <c r="O399" s="298"/>
    </row>
    <row r="400" spans="1:21" s="247" customFormat="1" ht="15" customHeight="1" thickBot="1">
      <c r="A400" s="396"/>
      <c r="B400" s="280"/>
      <c r="C400" s="281"/>
      <c r="D400" s="281"/>
      <c r="E400" s="281"/>
      <c r="F400" s="281"/>
      <c r="G400" s="281"/>
      <c r="H400" s="693">
        <v>601</v>
      </c>
      <c r="I400" s="283"/>
      <c r="J400" s="284" t="s">
        <v>328</v>
      </c>
      <c r="K400" s="820">
        <v>6660</v>
      </c>
      <c r="L400" s="285">
        <f>SUM(L401:L402)</f>
        <v>2775</v>
      </c>
      <c r="M400" s="719">
        <f>SUM(M401+M402)</f>
        <v>2602469</v>
      </c>
      <c r="N400" s="749"/>
      <c r="O400" s="298"/>
      <c r="S400" s="209"/>
      <c r="T400" s="209"/>
      <c r="U400" s="209"/>
    </row>
    <row r="401" spans="1:21" s="247" customFormat="1" ht="15" customHeight="1">
      <c r="A401" s="396"/>
      <c r="B401" s="306"/>
      <c r="C401" s="307"/>
      <c r="D401" s="307"/>
      <c r="E401" s="307"/>
      <c r="F401" s="307"/>
      <c r="G401" s="307"/>
      <c r="H401" s="308"/>
      <c r="I401" s="309">
        <v>601.01</v>
      </c>
      <c r="J401" s="696" t="s">
        <v>329</v>
      </c>
      <c r="K401" s="821">
        <v>6660</v>
      </c>
      <c r="L401" s="817">
        <v>2775</v>
      </c>
      <c r="M401" s="819">
        <v>2337547</v>
      </c>
      <c r="N401" s="749"/>
    </row>
    <row r="402" spans="1:21" s="247" customFormat="1" ht="15" customHeight="1" thickBot="1">
      <c r="A402" s="396"/>
      <c r="B402" s="300"/>
      <c r="C402" s="301"/>
      <c r="D402" s="301"/>
      <c r="E402" s="301"/>
      <c r="F402" s="301"/>
      <c r="G402" s="301"/>
      <c r="H402" s="302"/>
      <c r="I402" s="311">
        <v>601.11</v>
      </c>
      <c r="J402" s="698" t="s">
        <v>330</v>
      </c>
      <c r="K402" s="312"/>
      <c r="L402" s="467"/>
      <c r="M402" s="819">
        <v>264922</v>
      </c>
      <c r="N402" s="749"/>
      <c r="O402" s="298"/>
    </row>
    <row r="403" spans="1:21" s="247" customFormat="1" ht="16.5" customHeight="1" thickBot="1">
      <c r="A403" s="396"/>
      <c r="B403" s="313"/>
      <c r="C403" s="314"/>
      <c r="D403" s="314"/>
      <c r="E403" s="314"/>
      <c r="F403" s="314"/>
      <c r="G403" s="314"/>
      <c r="H403" s="693">
        <v>602</v>
      </c>
      <c r="I403" s="316"/>
      <c r="J403" s="284" t="s">
        <v>170</v>
      </c>
      <c r="K403" s="285">
        <f>SUM(K404+K411+K424+K439+K444+K447+K456+K462+K469+K472)</f>
        <v>20000</v>
      </c>
      <c r="L403" s="285">
        <f>SUM(L404+L411+L424+L439+L444+L447+L456+L462+L469+L472)</f>
        <v>13000</v>
      </c>
      <c r="M403" s="285">
        <f>SUM(M404+M411+M424+M439+M444+M447+M456+M462+M469+M472)</f>
        <v>12991000</v>
      </c>
      <c r="N403" s="749"/>
      <c r="O403" s="298"/>
      <c r="S403" s="319"/>
      <c r="T403" s="319"/>
      <c r="U403" s="319"/>
    </row>
    <row r="404" spans="1:21" s="247" customFormat="1" ht="15" customHeight="1" thickBot="1">
      <c r="A404" s="396"/>
      <c r="B404" s="320"/>
      <c r="C404" s="321"/>
      <c r="D404" s="321"/>
      <c r="E404" s="321"/>
      <c r="F404" s="321"/>
      <c r="G404" s="321"/>
      <c r="H404" s="322"/>
      <c r="I404" s="323">
        <v>6020</v>
      </c>
      <c r="J404" s="324" t="s">
        <v>331</v>
      </c>
      <c r="K404" s="822">
        <v>20000</v>
      </c>
      <c r="L404" s="822">
        <v>13000</v>
      </c>
      <c r="M404" s="476">
        <f>SUM(M405+M406+M407+M408+M409+M410)</f>
        <v>1166250</v>
      </c>
      <c r="N404" s="749"/>
      <c r="O404" s="682"/>
      <c r="P404" s="298"/>
      <c r="S404" s="149"/>
      <c r="T404" s="149"/>
      <c r="U404" s="149"/>
    </row>
    <row r="405" spans="1:21" s="247" customFormat="1" ht="15" customHeight="1">
      <c r="A405" s="383"/>
      <c r="B405" s="332"/>
      <c r="C405" s="333"/>
      <c r="D405" s="333"/>
      <c r="E405" s="333"/>
      <c r="F405" s="333"/>
      <c r="G405" s="333"/>
      <c r="H405" s="334"/>
      <c r="I405" s="335" t="s">
        <v>11</v>
      </c>
      <c r="J405" s="336" t="s">
        <v>172</v>
      </c>
      <c r="K405" s="337"/>
      <c r="L405" s="469"/>
      <c r="M405" s="469">
        <v>383600</v>
      </c>
      <c r="N405" s="836"/>
      <c r="O405" s="512"/>
      <c r="P405" s="512"/>
      <c r="Q405" s="513"/>
      <c r="R405" s="513"/>
      <c r="S405" s="512"/>
      <c r="T405" s="512"/>
      <c r="U405" s="149"/>
    </row>
    <row r="406" spans="1:21" s="247" customFormat="1" ht="15" customHeight="1">
      <c r="A406" s="396"/>
      <c r="B406" s="352"/>
      <c r="C406" s="353"/>
      <c r="D406" s="353"/>
      <c r="E406" s="353"/>
      <c r="F406" s="353"/>
      <c r="G406" s="353"/>
      <c r="H406" s="354"/>
      <c r="I406" s="360">
        <v>602.02</v>
      </c>
      <c r="J406" s="361" t="s">
        <v>332</v>
      </c>
      <c r="K406" s="357"/>
      <c r="L406" s="473"/>
      <c r="M406" s="473"/>
      <c r="N406" s="836"/>
      <c r="O406" s="149"/>
      <c r="S406" s="149"/>
      <c r="T406" s="149"/>
      <c r="U406" s="149"/>
    </row>
    <row r="407" spans="1:21" s="209" customFormat="1" ht="15" customHeight="1">
      <c r="A407" s="396"/>
      <c r="B407" s="339"/>
      <c r="C407" s="340"/>
      <c r="D407" s="340"/>
      <c r="E407" s="340"/>
      <c r="F407" s="340"/>
      <c r="G407" s="340"/>
      <c r="H407" s="150"/>
      <c r="I407" s="341">
        <v>602.03</v>
      </c>
      <c r="J407" s="342" t="s">
        <v>467</v>
      </c>
      <c r="K407" s="343"/>
      <c r="L407" s="470"/>
      <c r="M407" s="470">
        <v>453800</v>
      </c>
      <c r="N407" s="834"/>
      <c r="O407" s="149"/>
      <c r="P407" s="247"/>
      <c r="Q407" s="247"/>
      <c r="R407" s="247"/>
      <c r="S407" s="149"/>
      <c r="T407" s="149"/>
      <c r="U407" s="149"/>
    </row>
    <row r="408" spans="1:21" s="247" customFormat="1" ht="15" customHeight="1">
      <c r="A408" s="397"/>
      <c r="B408" s="339"/>
      <c r="C408" s="340"/>
      <c r="D408" s="340"/>
      <c r="E408" s="340"/>
      <c r="F408" s="340"/>
      <c r="G408" s="340"/>
      <c r="H408" s="150"/>
      <c r="I408" s="341">
        <v>602.04</v>
      </c>
      <c r="J408" s="342" t="s">
        <v>334</v>
      </c>
      <c r="K408" s="343"/>
      <c r="L408" s="470"/>
      <c r="M408" s="470"/>
      <c r="N408" s="749"/>
      <c r="O408" s="149"/>
      <c r="S408" s="149"/>
      <c r="T408" s="149"/>
      <c r="U408" s="149"/>
    </row>
    <row r="409" spans="1:21" s="247" customFormat="1" ht="15" customHeight="1">
      <c r="A409" s="163"/>
      <c r="B409" s="339"/>
      <c r="C409" s="340"/>
      <c r="D409" s="340"/>
      <c r="E409" s="340"/>
      <c r="F409" s="340"/>
      <c r="G409" s="340"/>
      <c r="H409" s="150"/>
      <c r="I409" s="341">
        <v>602.04999999999995</v>
      </c>
      <c r="J409" s="342" t="s">
        <v>476</v>
      </c>
      <c r="K409" s="343"/>
      <c r="L409" s="470"/>
      <c r="M409" s="470">
        <v>328850</v>
      </c>
      <c r="N409" s="749"/>
      <c r="O409" s="149"/>
      <c r="S409" s="149"/>
      <c r="T409" s="149"/>
      <c r="U409" s="149"/>
    </row>
    <row r="410" spans="1:21" s="319" customFormat="1" ht="15" customHeight="1" thickBot="1">
      <c r="A410" s="163"/>
      <c r="B410" s="345"/>
      <c r="C410" s="346"/>
      <c r="D410" s="346"/>
      <c r="E410" s="346"/>
      <c r="F410" s="346"/>
      <c r="G410" s="346"/>
      <c r="H410" s="164"/>
      <c r="I410" s="347">
        <v>602.09</v>
      </c>
      <c r="J410" s="348" t="s">
        <v>335</v>
      </c>
      <c r="K410" s="349"/>
      <c r="L410" s="471"/>
      <c r="M410" s="471"/>
      <c r="N410" s="837"/>
      <c r="O410" s="149"/>
      <c r="P410" s="247"/>
      <c r="Q410" s="247"/>
      <c r="R410" s="247"/>
      <c r="S410" s="149"/>
      <c r="T410" s="149"/>
      <c r="U410" s="149"/>
    </row>
    <row r="411" spans="1:21" ht="15" customHeight="1" thickBot="1">
      <c r="A411" s="163"/>
      <c r="B411" s="320"/>
      <c r="C411" s="321"/>
      <c r="D411" s="321"/>
      <c r="E411" s="321"/>
      <c r="F411" s="321"/>
      <c r="G411" s="321"/>
      <c r="H411" s="322"/>
      <c r="I411" s="323">
        <v>602.1</v>
      </c>
      <c r="J411" s="324" t="s">
        <v>336</v>
      </c>
      <c r="K411" s="351">
        <f>SUM(K412+K413+K414+K415+K416+K417+K418+K419+K420+K421+K422+K423)</f>
        <v>0</v>
      </c>
      <c r="L411" s="472">
        <f>SUM(L412+L413+L414+L415+L416+L417+L418+L419+L420+L421+L422+L423)</f>
        <v>0</v>
      </c>
      <c r="M411" s="472">
        <f>SUM(M412+M413+M414+M415+M416+M417+M418+M419+M420+M421+M422+M423)</f>
        <v>980496</v>
      </c>
      <c r="N411" s="838"/>
      <c r="P411" s="247"/>
      <c r="Q411" s="247"/>
      <c r="R411" s="247"/>
    </row>
    <row r="412" spans="1:21" ht="15" customHeight="1">
      <c r="A412" s="163"/>
      <c r="B412" s="352"/>
      <c r="C412" s="353"/>
      <c r="D412" s="353"/>
      <c r="E412" s="353"/>
      <c r="F412" s="353"/>
      <c r="G412" s="353"/>
      <c r="H412" s="354"/>
      <c r="I412" s="355">
        <v>602.1001</v>
      </c>
      <c r="J412" s="699" t="s">
        <v>337</v>
      </c>
      <c r="K412" s="357"/>
      <c r="L412" s="473"/>
      <c r="M412" s="473"/>
      <c r="N412" s="800"/>
      <c r="P412" s="247"/>
      <c r="Q412" s="247"/>
      <c r="R412" s="247"/>
    </row>
    <row r="413" spans="1:21" ht="15" customHeight="1">
      <c r="A413" s="163"/>
      <c r="B413" s="339"/>
      <c r="C413" s="340"/>
      <c r="D413" s="340"/>
      <c r="E413" s="340"/>
      <c r="F413" s="340"/>
      <c r="G413" s="340"/>
      <c r="H413" s="150"/>
      <c r="I413" s="358">
        <v>602.10019999999997</v>
      </c>
      <c r="J413" s="700" t="s">
        <v>338</v>
      </c>
      <c r="K413" s="343"/>
      <c r="L413" s="470"/>
      <c r="M413" s="470"/>
      <c r="N413" s="800"/>
      <c r="P413" s="247"/>
      <c r="Q413" s="247"/>
      <c r="R413" s="247"/>
    </row>
    <row r="414" spans="1:21" ht="15" customHeight="1">
      <c r="A414" s="163"/>
      <c r="B414" s="339"/>
      <c r="C414" s="340"/>
      <c r="D414" s="340"/>
      <c r="E414" s="340"/>
      <c r="F414" s="340"/>
      <c r="G414" s="340"/>
      <c r="H414" s="150"/>
      <c r="I414" s="358">
        <v>602.10029999999995</v>
      </c>
      <c r="J414" s="700" t="s">
        <v>339</v>
      </c>
      <c r="K414" s="343"/>
      <c r="L414" s="470"/>
      <c r="M414" s="470"/>
      <c r="N414" s="800"/>
      <c r="P414" s="247"/>
      <c r="Q414" s="247"/>
      <c r="R414" s="247"/>
    </row>
    <row r="415" spans="1:21" ht="15" customHeight="1">
      <c r="A415" s="163"/>
      <c r="B415" s="339"/>
      <c r="C415" s="340"/>
      <c r="D415" s="340"/>
      <c r="E415" s="340"/>
      <c r="F415" s="340"/>
      <c r="G415" s="340"/>
      <c r="H415" s="150"/>
      <c r="I415" s="358">
        <v>602.10040000000004</v>
      </c>
      <c r="J415" s="700" t="s">
        <v>340</v>
      </c>
      <c r="K415" s="343"/>
      <c r="L415" s="470"/>
      <c r="M415" s="470"/>
      <c r="N415" s="800"/>
      <c r="P415" s="247"/>
      <c r="Q415" s="247"/>
      <c r="R415" s="247"/>
    </row>
    <row r="416" spans="1:21" ht="15" customHeight="1">
      <c r="A416" s="163"/>
      <c r="B416" s="339"/>
      <c r="C416" s="340"/>
      <c r="D416" s="340"/>
      <c r="E416" s="340"/>
      <c r="F416" s="340"/>
      <c r="G416" s="340"/>
      <c r="H416" s="150"/>
      <c r="I416" s="358">
        <v>602.10050000000001</v>
      </c>
      <c r="J416" s="700" t="s">
        <v>341</v>
      </c>
      <c r="K416" s="343"/>
      <c r="L416" s="470"/>
      <c r="M416" s="470"/>
      <c r="N416" s="800"/>
      <c r="P416" s="298"/>
      <c r="Q416" s="247"/>
      <c r="R416" s="247"/>
    </row>
    <row r="417" spans="1:18" ht="15" customHeight="1">
      <c r="A417" s="163"/>
      <c r="B417" s="339"/>
      <c r="C417" s="340"/>
      <c r="D417" s="340"/>
      <c r="E417" s="340"/>
      <c r="F417" s="340"/>
      <c r="G417" s="340"/>
      <c r="H417" s="150"/>
      <c r="I417" s="358">
        <v>602.10059999999999</v>
      </c>
      <c r="J417" s="700" t="s">
        <v>342</v>
      </c>
      <c r="K417" s="343"/>
      <c r="L417" s="470"/>
      <c r="M417" s="470"/>
      <c r="N417" s="800"/>
      <c r="P417" s="247"/>
      <c r="Q417" s="247"/>
      <c r="R417" s="247"/>
    </row>
    <row r="418" spans="1:18" ht="15" customHeight="1">
      <c r="A418" s="163"/>
      <c r="B418" s="339"/>
      <c r="C418" s="340"/>
      <c r="D418" s="340"/>
      <c r="E418" s="340"/>
      <c r="F418" s="340"/>
      <c r="G418" s="340"/>
      <c r="H418" s="150"/>
      <c r="I418" s="358">
        <v>602.10069999999996</v>
      </c>
      <c r="J418" s="700" t="s">
        <v>469</v>
      </c>
      <c r="K418" s="343"/>
      <c r="L418" s="470"/>
      <c r="M418" s="470"/>
      <c r="N418" s="801"/>
      <c r="O418" s="804"/>
      <c r="P418" s="247"/>
      <c r="Q418" s="247"/>
      <c r="R418" s="247"/>
    </row>
    <row r="419" spans="1:18" ht="15" customHeight="1">
      <c r="A419" s="163"/>
      <c r="B419" s="339"/>
      <c r="C419" s="340"/>
      <c r="D419" s="340"/>
      <c r="E419" s="340"/>
      <c r="F419" s="340"/>
      <c r="G419" s="340"/>
      <c r="H419" s="150"/>
      <c r="I419" s="358">
        <v>602.10080000000005</v>
      </c>
      <c r="J419" s="700" t="s">
        <v>343</v>
      </c>
      <c r="K419" s="343"/>
      <c r="L419" s="470"/>
      <c r="M419" s="470"/>
      <c r="N419" s="800"/>
      <c r="O419" s="840"/>
      <c r="P419" s="247"/>
      <c r="Q419" s="247"/>
      <c r="R419" s="247"/>
    </row>
    <row r="420" spans="1:18" ht="15" customHeight="1">
      <c r="A420" s="163"/>
      <c r="B420" s="339"/>
      <c r="C420" s="340"/>
      <c r="D420" s="340"/>
      <c r="E420" s="340"/>
      <c r="F420" s="340"/>
      <c r="G420" s="340"/>
      <c r="H420" s="150"/>
      <c r="I420" s="358">
        <v>602.10090000000002</v>
      </c>
      <c r="J420" s="700" t="s">
        <v>344</v>
      </c>
      <c r="K420" s="344"/>
      <c r="L420" s="474"/>
      <c r="M420" s="474"/>
      <c r="N420" s="800"/>
      <c r="O420" s="841"/>
      <c r="P420" s="247"/>
      <c r="Q420" s="247"/>
      <c r="R420" s="247"/>
    </row>
    <row r="421" spans="1:18" ht="15" customHeight="1">
      <c r="A421" s="163"/>
      <c r="B421" s="339"/>
      <c r="C421" s="340"/>
      <c r="D421" s="340"/>
      <c r="E421" s="340"/>
      <c r="F421" s="340"/>
      <c r="G421" s="340"/>
      <c r="H421" s="150"/>
      <c r="I421" s="358">
        <v>602.101</v>
      </c>
      <c r="J421" s="700" t="s">
        <v>345</v>
      </c>
      <c r="K421" s="344"/>
      <c r="L421" s="474"/>
      <c r="M421" s="474"/>
      <c r="N421" s="800"/>
      <c r="O421" s="842"/>
      <c r="Q421" s="247"/>
      <c r="R421" s="247"/>
    </row>
    <row r="422" spans="1:18" ht="15" customHeight="1">
      <c r="A422" s="163"/>
      <c r="B422" s="339"/>
      <c r="C422" s="340"/>
      <c r="D422" s="340"/>
      <c r="E422" s="340"/>
      <c r="F422" s="340"/>
      <c r="G422" s="340"/>
      <c r="H422" s="150"/>
      <c r="I422" s="341">
        <v>602.10109999999997</v>
      </c>
      <c r="J422" s="700" t="s">
        <v>490</v>
      </c>
      <c r="K422" s="344"/>
      <c r="L422" s="474"/>
      <c r="M422" s="474">
        <v>174776</v>
      </c>
      <c r="N422" s="800"/>
      <c r="O422" s="802"/>
      <c r="Q422" s="247"/>
      <c r="R422" s="247"/>
    </row>
    <row r="423" spans="1:18" ht="15" customHeight="1" thickBot="1">
      <c r="A423" s="163"/>
      <c r="B423" s="367"/>
      <c r="C423" s="368"/>
      <c r="D423" s="368"/>
      <c r="E423" s="368"/>
      <c r="F423" s="368"/>
      <c r="G423" s="368"/>
      <c r="H423" s="369"/>
      <c r="I423" s="370">
        <v>602.10990000000004</v>
      </c>
      <c r="J423" s="701" t="s">
        <v>468</v>
      </c>
      <c r="K423" s="378"/>
      <c r="L423" s="475"/>
      <c r="M423" s="475">
        <v>805720</v>
      </c>
      <c r="N423" s="800">
        <v>9600</v>
      </c>
      <c r="O423" s="682">
        <f>M423+N423</f>
        <v>815320</v>
      </c>
      <c r="Q423" s="247"/>
      <c r="R423" s="247"/>
    </row>
    <row r="424" spans="1:18" ht="15" customHeight="1" thickBot="1">
      <c r="A424" s="163"/>
      <c r="B424" s="320"/>
      <c r="C424" s="321"/>
      <c r="D424" s="321"/>
      <c r="E424" s="321"/>
      <c r="F424" s="321"/>
      <c r="G424" s="321"/>
      <c r="H424" s="322"/>
      <c r="I424" s="323">
        <v>602.20000000000005</v>
      </c>
      <c r="J424" s="324" t="s">
        <v>348</v>
      </c>
      <c r="K424" s="351">
        <f>SUM(K425+K426+K427+K428+K429+K430+K431+K432+K433+K434+K435+K436+K437+K438)</f>
        <v>0</v>
      </c>
      <c r="L424" s="722">
        <f>SUM(L425+L426+L427+L430+L431+L432+L433+L434+L435+L436+L437+L438)</f>
        <v>0</v>
      </c>
      <c r="M424" s="722">
        <f>SUM(M425+M426+M427+M430+M431+M432+M433+M434+M435+M436+M437+M438)</f>
        <v>1908302</v>
      </c>
      <c r="N424" s="800"/>
      <c r="Q424" s="247"/>
      <c r="R424" s="247"/>
    </row>
    <row r="425" spans="1:18" ht="15" customHeight="1">
      <c r="A425" s="163"/>
      <c r="B425" s="352"/>
      <c r="C425" s="353"/>
      <c r="D425" s="353"/>
      <c r="E425" s="353"/>
      <c r="F425" s="353"/>
      <c r="G425" s="353"/>
      <c r="H425" s="354"/>
      <c r="I425" s="360">
        <v>602.20010000000002</v>
      </c>
      <c r="J425" s="361" t="s">
        <v>192</v>
      </c>
      <c r="K425" s="362"/>
      <c r="L425" s="755"/>
      <c r="M425" s="755">
        <v>780169</v>
      </c>
      <c r="N425" s="800"/>
      <c r="Q425" s="247"/>
      <c r="R425" s="247"/>
    </row>
    <row r="426" spans="1:18" ht="15" customHeight="1">
      <c r="A426" s="163"/>
      <c r="B426" s="339"/>
      <c r="C426" s="340"/>
      <c r="D426" s="340"/>
      <c r="E426" s="340"/>
      <c r="F426" s="340"/>
      <c r="G426" s="340"/>
      <c r="H426" s="150"/>
      <c r="I426" s="341">
        <v>602.2002</v>
      </c>
      <c r="J426" s="342" t="s">
        <v>349</v>
      </c>
      <c r="K426" s="344"/>
      <c r="L426" s="474">
        <v>0</v>
      </c>
      <c r="M426" s="474">
        <v>0</v>
      </c>
      <c r="N426" s="800"/>
      <c r="Q426" s="247"/>
      <c r="R426" s="247"/>
    </row>
    <row r="427" spans="1:18" ht="15" customHeight="1">
      <c r="A427" s="163"/>
      <c r="B427" s="339"/>
      <c r="C427" s="340"/>
      <c r="D427" s="340"/>
      <c r="E427" s="340"/>
      <c r="F427" s="340"/>
      <c r="G427" s="340"/>
      <c r="H427" s="150"/>
      <c r="I427" s="341">
        <v>602.20029999999997</v>
      </c>
      <c r="J427" s="342" t="s">
        <v>350</v>
      </c>
      <c r="K427" s="344"/>
      <c r="L427" s="478">
        <f>L428+L429</f>
        <v>0</v>
      </c>
      <c r="M427" s="478">
        <f>M428+M429</f>
        <v>456412</v>
      </c>
      <c r="N427" s="802"/>
      <c r="Q427" s="247"/>
      <c r="R427" s="247"/>
    </row>
    <row r="428" spans="1:18" ht="15" customHeight="1">
      <c r="A428" s="163"/>
      <c r="B428" s="339"/>
      <c r="C428" s="340"/>
      <c r="D428" s="340"/>
      <c r="E428" s="340"/>
      <c r="F428" s="340"/>
      <c r="G428" s="340"/>
      <c r="H428" s="150"/>
      <c r="I428" s="341"/>
      <c r="J428" s="906" t="s">
        <v>473</v>
      </c>
      <c r="K428" s="344"/>
      <c r="L428" s="764"/>
      <c r="M428" s="908">
        <v>306412</v>
      </c>
      <c r="N428" s="802"/>
      <c r="Q428" s="247"/>
      <c r="R428" s="247"/>
    </row>
    <row r="429" spans="1:18" ht="15" customHeight="1">
      <c r="A429" s="163"/>
      <c r="B429" s="339"/>
      <c r="C429" s="340"/>
      <c r="D429" s="340"/>
      <c r="E429" s="340"/>
      <c r="F429" s="340"/>
      <c r="G429" s="340"/>
      <c r="H429" s="150"/>
      <c r="I429" s="341"/>
      <c r="J429" s="907" t="s">
        <v>474</v>
      </c>
      <c r="K429" s="344"/>
      <c r="L429" s="765"/>
      <c r="M429" s="909">
        <v>150000</v>
      </c>
      <c r="N429" s="802"/>
      <c r="Q429" s="247"/>
      <c r="R429" s="247"/>
    </row>
    <row r="430" spans="1:18" ht="15" customHeight="1">
      <c r="A430" s="163"/>
      <c r="B430" s="339"/>
      <c r="C430" s="340"/>
      <c r="D430" s="340"/>
      <c r="E430" s="340"/>
      <c r="F430" s="340"/>
      <c r="G430" s="340"/>
      <c r="H430" s="150"/>
      <c r="I430" s="341">
        <v>602.20039999999995</v>
      </c>
      <c r="J430" s="342" t="s">
        <v>351</v>
      </c>
      <c r="K430" s="344"/>
      <c r="L430" s="754"/>
      <c r="M430" s="754">
        <v>174654</v>
      </c>
      <c r="N430" s="802"/>
      <c r="Q430" s="247"/>
      <c r="R430" s="247"/>
    </row>
    <row r="431" spans="1:18" ht="15" customHeight="1">
      <c r="A431" s="163"/>
      <c r="B431" s="339"/>
      <c r="C431" s="340"/>
      <c r="D431" s="340"/>
      <c r="E431" s="340"/>
      <c r="F431" s="340"/>
      <c r="G431" s="340"/>
      <c r="H431" s="150"/>
      <c r="I431" s="341">
        <v>602.20050000000003</v>
      </c>
      <c r="J431" s="342" t="s">
        <v>352</v>
      </c>
      <c r="K431" s="344"/>
      <c r="L431" s="474"/>
      <c r="M431" s="474">
        <v>250720</v>
      </c>
      <c r="N431" s="799"/>
      <c r="Q431" s="247"/>
      <c r="R431" s="247"/>
    </row>
    <row r="432" spans="1:18" ht="15" customHeight="1">
      <c r="A432" s="163"/>
      <c r="B432" s="339"/>
      <c r="C432" s="340"/>
      <c r="D432" s="340"/>
      <c r="E432" s="340"/>
      <c r="F432" s="340"/>
      <c r="G432" s="340"/>
      <c r="H432" s="150"/>
      <c r="I432" s="341">
        <v>602.20060000000001</v>
      </c>
      <c r="J432" s="342" t="s">
        <v>353</v>
      </c>
      <c r="K432" s="344"/>
      <c r="L432" s="474"/>
      <c r="M432" s="474"/>
      <c r="N432" s="803"/>
      <c r="Q432" s="247"/>
      <c r="R432" s="247"/>
    </row>
    <row r="433" spans="1:20" ht="15" customHeight="1">
      <c r="A433" s="163"/>
      <c r="B433" s="339"/>
      <c r="C433" s="340"/>
      <c r="D433" s="340"/>
      <c r="E433" s="340"/>
      <c r="F433" s="340"/>
      <c r="G433" s="340"/>
      <c r="H433" s="150"/>
      <c r="I433" s="341">
        <v>602.20069999999998</v>
      </c>
      <c r="J433" s="342" t="s">
        <v>354</v>
      </c>
      <c r="K433" s="344"/>
      <c r="L433" s="783"/>
      <c r="M433" s="783">
        <v>200</v>
      </c>
      <c r="N433" s="802"/>
      <c r="Q433" s="247"/>
      <c r="R433" s="247"/>
    </row>
    <row r="434" spans="1:20" ht="15" customHeight="1">
      <c r="A434" s="163"/>
      <c r="B434" s="339"/>
      <c r="C434" s="340"/>
      <c r="D434" s="340"/>
      <c r="E434" s="340"/>
      <c r="F434" s="340"/>
      <c r="G434" s="340"/>
      <c r="H434" s="150"/>
      <c r="I434" s="341">
        <v>602.20079999999996</v>
      </c>
      <c r="J434" s="342" t="s">
        <v>355</v>
      </c>
      <c r="K434" s="344"/>
      <c r="L434" s="474"/>
      <c r="M434" s="474">
        <v>144000</v>
      </c>
      <c r="N434" s="804"/>
      <c r="Q434" s="247"/>
      <c r="R434" s="247"/>
    </row>
    <row r="435" spans="1:20" ht="15" customHeight="1">
      <c r="A435" s="163"/>
      <c r="B435" s="339"/>
      <c r="C435" s="340"/>
      <c r="D435" s="340"/>
      <c r="E435" s="340"/>
      <c r="F435" s="340"/>
      <c r="G435" s="340"/>
      <c r="H435" s="150"/>
      <c r="I435" s="341">
        <v>602.20090000000005</v>
      </c>
      <c r="J435" s="342" t="s">
        <v>356</v>
      </c>
      <c r="K435" s="344"/>
      <c r="L435" s="474"/>
      <c r="M435" s="474"/>
      <c r="N435" s="750"/>
      <c r="Q435" s="247"/>
      <c r="R435" s="247"/>
    </row>
    <row r="436" spans="1:20" ht="15" customHeight="1">
      <c r="A436" s="163"/>
      <c r="B436" s="339"/>
      <c r="C436" s="340"/>
      <c r="D436" s="340"/>
      <c r="E436" s="340"/>
      <c r="F436" s="340"/>
      <c r="G436" s="340"/>
      <c r="H436" s="150"/>
      <c r="I436" s="341">
        <v>602.20100000000002</v>
      </c>
      <c r="J436" s="342" t="s">
        <v>357</v>
      </c>
      <c r="K436" s="344"/>
      <c r="L436" s="474"/>
      <c r="M436" s="474">
        <v>33747</v>
      </c>
      <c r="N436" s="751">
        <v>9800</v>
      </c>
      <c r="O436" s="682">
        <f>M436+N436</f>
        <v>43547</v>
      </c>
      <c r="Q436" s="247"/>
      <c r="R436" s="247"/>
    </row>
    <row r="437" spans="1:20" ht="15" customHeight="1">
      <c r="A437" s="163"/>
      <c r="B437" s="339"/>
      <c r="C437" s="340"/>
      <c r="D437" s="340"/>
      <c r="E437" s="340"/>
      <c r="F437" s="340"/>
      <c r="G437" s="340"/>
      <c r="H437" s="150"/>
      <c r="I437" s="341">
        <v>602.20110000000102</v>
      </c>
      <c r="J437" s="342" t="s">
        <v>204</v>
      </c>
      <c r="K437" s="344"/>
      <c r="L437" s="474"/>
      <c r="M437" s="474">
        <v>68400</v>
      </c>
      <c r="N437" s="383"/>
      <c r="Q437" s="247"/>
      <c r="R437" s="247"/>
    </row>
    <row r="438" spans="1:20" ht="15" customHeight="1" thickBot="1">
      <c r="A438" s="163"/>
      <c r="B438" s="345"/>
      <c r="C438" s="346"/>
      <c r="D438" s="346"/>
      <c r="E438" s="346"/>
      <c r="F438" s="346"/>
      <c r="G438" s="346"/>
      <c r="H438" s="164"/>
      <c r="I438" s="347">
        <v>602.20989999999995</v>
      </c>
      <c r="J438" s="348" t="s">
        <v>491</v>
      </c>
      <c r="K438" s="350"/>
      <c r="L438" s="475"/>
      <c r="M438" s="475"/>
      <c r="N438" s="802"/>
      <c r="O438" s="512"/>
      <c r="P438" s="512"/>
      <c r="Q438" s="513"/>
      <c r="R438" s="513"/>
      <c r="S438" s="512"/>
      <c r="T438" s="512"/>
    </row>
    <row r="439" spans="1:20" ht="15" customHeight="1" thickBot="1">
      <c r="A439" s="163"/>
      <c r="B439" s="320"/>
      <c r="C439" s="321"/>
      <c r="D439" s="321"/>
      <c r="E439" s="321"/>
      <c r="F439" s="321"/>
      <c r="G439" s="321"/>
      <c r="H439" s="322"/>
      <c r="I439" s="323">
        <v>6023</v>
      </c>
      <c r="J439" s="324" t="s">
        <v>206</v>
      </c>
      <c r="K439" s="351">
        <f>SUM(K440+K441+K442+K443)</f>
        <v>0</v>
      </c>
      <c r="L439" s="476">
        <f>SUM(L440+L441+L442+L443)</f>
        <v>0</v>
      </c>
      <c r="M439" s="476">
        <f>SUM(M440:M443)</f>
        <v>2873796</v>
      </c>
      <c r="N439" s="802"/>
      <c r="O439" s="512"/>
      <c r="P439" s="512"/>
      <c r="Q439" s="513"/>
      <c r="R439" s="247"/>
    </row>
    <row r="440" spans="1:20" ht="15" customHeight="1">
      <c r="A440" s="163"/>
      <c r="B440" s="352"/>
      <c r="C440" s="353"/>
      <c r="D440" s="353"/>
      <c r="E440" s="353"/>
      <c r="F440" s="353"/>
      <c r="G440" s="353"/>
      <c r="H440" s="354"/>
      <c r="I440" s="360">
        <v>602.30999999999995</v>
      </c>
      <c r="J440" s="361" t="s">
        <v>207</v>
      </c>
      <c r="K440" s="362"/>
      <c r="L440" s="477"/>
      <c r="M440" s="477">
        <v>2655636</v>
      </c>
      <c r="N440" s="802"/>
      <c r="O440" s="512"/>
      <c r="P440" s="512"/>
      <c r="Q440" s="513"/>
      <c r="R440" s="247"/>
    </row>
    <row r="441" spans="1:20" ht="15" customHeight="1">
      <c r="A441" s="163"/>
      <c r="B441" s="339"/>
      <c r="C441" s="340"/>
      <c r="D441" s="340"/>
      <c r="E441" s="340"/>
      <c r="F441" s="340"/>
      <c r="G441" s="340"/>
      <c r="H441" s="150"/>
      <c r="I441" s="341">
        <v>602.32000000000005</v>
      </c>
      <c r="J441" s="342" t="s">
        <v>359</v>
      </c>
      <c r="K441" s="344"/>
      <c r="L441" s="474"/>
      <c r="M441" s="474">
        <v>218160</v>
      </c>
      <c r="N441" s="802"/>
      <c r="O441" s="512"/>
      <c r="P441" s="512"/>
      <c r="Q441" s="513"/>
      <c r="R441" s="247"/>
    </row>
    <row r="442" spans="1:20" ht="15" customHeight="1">
      <c r="A442" s="163"/>
      <c r="B442" s="339"/>
      <c r="C442" s="340"/>
      <c r="D442" s="340"/>
      <c r="E442" s="340"/>
      <c r="F442" s="340"/>
      <c r="G442" s="340"/>
      <c r="H442" s="150"/>
      <c r="I442" s="341">
        <v>602.33000000000004</v>
      </c>
      <c r="J442" s="342" t="s">
        <v>360</v>
      </c>
      <c r="K442" s="344"/>
      <c r="L442" s="474"/>
      <c r="M442" s="474"/>
      <c r="N442" s="802"/>
      <c r="O442" s="512"/>
      <c r="P442" s="512"/>
      <c r="Q442" s="513"/>
      <c r="R442" s="247"/>
    </row>
    <row r="443" spans="1:20" ht="15" customHeight="1" thickBot="1">
      <c r="A443" s="163"/>
      <c r="B443" s="345"/>
      <c r="C443" s="346"/>
      <c r="D443" s="346"/>
      <c r="E443" s="346"/>
      <c r="F443" s="346"/>
      <c r="G443" s="346"/>
      <c r="H443" s="164"/>
      <c r="I443" s="347">
        <v>602.39</v>
      </c>
      <c r="J443" s="348" t="s">
        <v>361</v>
      </c>
      <c r="K443" s="350"/>
      <c r="L443" s="798"/>
      <c r="M443" s="798"/>
      <c r="N443" s="802"/>
      <c r="O443" s="512"/>
      <c r="P443" s="512"/>
      <c r="Q443" s="513"/>
      <c r="R443" s="247"/>
    </row>
    <row r="444" spans="1:20" ht="15" customHeight="1" thickBot="1">
      <c r="A444" s="163"/>
      <c r="B444" s="320"/>
      <c r="C444" s="321"/>
      <c r="D444" s="321"/>
      <c r="E444" s="321"/>
      <c r="F444" s="321"/>
      <c r="G444" s="321"/>
      <c r="H444" s="322"/>
      <c r="I444" s="323">
        <v>602.4</v>
      </c>
      <c r="J444" s="324" t="s">
        <v>362</v>
      </c>
      <c r="K444" s="351">
        <f>SUM(K445+K446)</f>
        <v>0</v>
      </c>
      <c r="L444" s="476">
        <f>SUM(L445+L446)</f>
        <v>0</v>
      </c>
      <c r="M444" s="476">
        <f>SUM(M445:M446)</f>
        <v>3049425</v>
      </c>
      <c r="N444" s="802"/>
      <c r="O444" s="512"/>
      <c r="P444" s="512"/>
      <c r="Q444" s="513"/>
      <c r="R444" s="247"/>
    </row>
    <row r="445" spans="1:20" ht="15" customHeight="1">
      <c r="A445" s="163"/>
      <c r="B445" s="352"/>
      <c r="C445" s="353"/>
      <c r="D445" s="353"/>
      <c r="E445" s="353"/>
      <c r="F445" s="353"/>
      <c r="G445" s="353"/>
      <c r="H445" s="354"/>
      <c r="I445" s="360">
        <v>602.4</v>
      </c>
      <c r="J445" s="361" t="s">
        <v>363</v>
      </c>
      <c r="K445" s="362"/>
      <c r="L445" s="712"/>
      <c r="M445" s="712">
        <v>3049425</v>
      </c>
      <c r="N445" s="802"/>
      <c r="O445" s="512"/>
      <c r="P445" s="512"/>
      <c r="Q445" s="513"/>
      <c r="R445" s="247"/>
    </row>
    <row r="446" spans="1:20" ht="15" customHeight="1" thickBot="1">
      <c r="A446" s="163"/>
      <c r="B446" s="345"/>
      <c r="C446" s="346"/>
      <c r="D446" s="346"/>
      <c r="E446" s="346"/>
      <c r="F446" s="346"/>
      <c r="G446" s="346"/>
      <c r="H446" s="164"/>
      <c r="I446" s="347">
        <v>602.41</v>
      </c>
      <c r="J446" s="348" t="s">
        <v>364</v>
      </c>
      <c r="K446" s="350"/>
      <c r="L446" s="797"/>
      <c r="M446" s="797"/>
      <c r="N446" s="799"/>
      <c r="O446" s="512"/>
      <c r="P446" s="512"/>
      <c r="Q446" s="513"/>
      <c r="R446" s="247"/>
    </row>
    <row r="447" spans="1:20" ht="15" customHeight="1" thickBot="1">
      <c r="A447" s="163"/>
      <c r="B447" s="320"/>
      <c r="C447" s="321"/>
      <c r="D447" s="321"/>
      <c r="E447" s="321"/>
      <c r="F447" s="321"/>
      <c r="G447" s="321"/>
      <c r="H447" s="322"/>
      <c r="I447" s="323">
        <v>602.5</v>
      </c>
      <c r="J447" s="324" t="s">
        <v>365</v>
      </c>
      <c r="K447" s="351">
        <f>SUM(K448+K449+K450+K451+K452+K453+K454+K455)</f>
        <v>0</v>
      </c>
      <c r="L447" s="472">
        <f>SUM(L448+L449+L450+L451+L452+L453+L454+L455)</f>
        <v>0</v>
      </c>
      <c r="M447" s="472">
        <f>SUM(M448:M455)</f>
        <v>466888</v>
      </c>
      <c r="N447" s="804"/>
      <c r="O447" s="512"/>
      <c r="P447" s="512"/>
      <c r="Q447" s="513"/>
      <c r="R447" s="247"/>
    </row>
    <row r="448" spans="1:20" ht="15" customHeight="1">
      <c r="A448" s="163"/>
      <c r="B448" s="352"/>
      <c r="C448" s="353"/>
      <c r="D448" s="353"/>
      <c r="E448" s="353"/>
      <c r="F448" s="353"/>
      <c r="G448" s="353"/>
      <c r="H448" s="354"/>
      <c r="I448" s="360">
        <v>602.5</v>
      </c>
      <c r="J448" s="361" t="s">
        <v>366</v>
      </c>
      <c r="K448" s="364"/>
      <c r="L448" s="481"/>
      <c r="M448" s="481"/>
      <c r="N448" s="802"/>
      <c r="Q448" s="247"/>
      <c r="R448" s="247"/>
    </row>
    <row r="449" spans="1:18" ht="15" customHeight="1">
      <c r="A449" s="163"/>
      <c r="B449" s="339"/>
      <c r="C449" s="340"/>
      <c r="D449" s="340"/>
      <c r="E449" s="340"/>
      <c r="F449" s="340"/>
      <c r="G449" s="340"/>
      <c r="H449" s="150"/>
      <c r="I449" s="341">
        <v>602.51</v>
      </c>
      <c r="J449" s="342" t="s">
        <v>367</v>
      </c>
      <c r="K449" s="365"/>
      <c r="L449" s="482"/>
      <c r="M449" s="482"/>
      <c r="N449" s="802"/>
      <c r="Q449" s="247"/>
      <c r="R449" s="247"/>
    </row>
    <row r="450" spans="1:18" ht="15" customHeight="1">
      <c r="A450" s="163"/>
      <c r="B450" s="339"/>
      <c r="C450" s="340"/>
      <c r="D450" s="340"/>
      <c r="E450" s="340"/>
      <c r="F450" s="340"/>
      <c r="G450" s="340"/>
      <c r="H450" s="150"/>
      <c r="I450" s="341">
        <v>602.52</v>
      </c>
      <c r="J450" s="342" t="s">
        <v>368</v>
      </c>
      <c r="K450" s="365"/>
      <c r="L450" s="482"/>
      <c r="M450" s="482">
        <v>466888</v>
      </c>
      <c r="N450" s="802"/>
      <c r="Q450" s="247"/>
      <c r="R450" s="247"/>
    </row>
    <row r="451" spans="1:18" ht="15" customHeight="1" thickBot="1">
      <c r="A451" s="163"/>
      <c r="B451" s="367"/>
      <c r="C451" s="368"/>
      <c r="D451" s="368"/>
      <c r="E451" s="368"/>
      <c r="F451" s="368"/>
      <c r="G451" s="368"/>
      <c r="H451" s="369"/>
      <c r="I451" s="370">
        <v>602.53</v>
      </c>
      <c r="J451" s="371" t="s">
        <v>369</v>
      </c>
      <c r="K451" s="372"/>
      <c r="L451" s="483"/>
      <c r="M451" s="483"/>
      <c r="N451" s="799"/>
      <c r="Q451" s="247"/>
      <c r="R451" s="247"/>
    </row>
    <row r="452" spans="1:18" ht="15" customHeight="1">
      <c r="A452" s="163"/>
      <c r="B452" s="332"/>
      <c r="C452" s="333"/>
      <c r="D452" s="333"/>
      <c r="E452" s="333"/>
      <c r="F452" s="333"/>
      <c r="G452" s="333"/>
      <c r="H452" s="334"/>
      <c r="I452" s="335">
        <v>602.54</v>
      </c>
      <c r="J452" s="336" t="s">
        <v>405</v>
      </c>
      <c r="K452" s="373"/>
      <c r="L452" s="469"/>
      <c r="M452" s="469"/>
      <c r="N452" s="140"/>
      <c r="Q452" s="247"/>
      <c r="R452" s="247"/>
    </row>
    <row r="453" spans="1:18" ht="15" customHeight="1">
      <c r="A453" s="163"/>
      <c r="B453" s="339"/>
      <c r="C453" s="340"/>
      <c r="D453" s="340"/>
      <c r="E453" s="340"/>
      <c r="F453" s="340"/>
      <c r="G453" s="340"/>
      <c r="H453" s="150"/>
      <c r="I453" s="341">
        <v>602.54999999999995</v>
      </c>
      <c r="J453" s="342" t="s">
        <v>370</v>
      </c>
      <c r="K453" s="365"/>
      <c r="L453" s="710"/>
      <c r="M453" s="710"/>
      <c r="N453" s="802"/>
      <c r="Q453" s="247"/>
      <c r="R453" s="247"/>
    </row>
    <row r="454" spans="1:18" ht="15" customHeight="1">
      <c r="A454" s="163"/>
      <c r="B454" s="339"/>
      <c r="C454" s="340"/>
      <c r="D454" s="340"/>
      <c r="E454" s="340"/>
      <c r="F454" s="340"/>
      <c r="G454" s="340"/>
      <c r="H454" s="150"/>
      <c r="I454" s="341">
        <v>602.55999999999995</v>
      </c>
      <c r="J454" s="342" t="s">
        <v>371</v>
      </c>
      <c r="K454" s="365"/>
      <c r="L454" s="482"/>
      <c r="M454" s="482"/>
      <c r="N454" s="801"/>
      <c r="Q454" s="247"/>
      <c r="R454" s="247"/>
    </row>
    <row r="455" spans="1:18" ht="15" customHeight="1" thickBot="1">
      <c r="A455" s="163"/>
      <c r="B455" s="345"/>
      <c r="C455" s="346"/>
      <c r="D455" s="346"/>
      <c r="E455" s="346"/>
      <c r="F455" s="346"/>
      <c r="G455" s="346"/>
      <c r="H455" s="164"/>
      <c r="I455" s="347">
        <v>602.58000000000004</v>
      </c>
      <c r="J455" s="348" t="s">
        <v>372</v>
      </c>
      <c r="K455" s="374"/>
      <c r="L455" s="711"/>
      <c r="M455" s="711"/>
      <c r="N455" s="801"/>
      <c r="Q455" s="247"/>
      <c r="R455" s="247"/>
    </row>
    <row r="456" spans="1:18" ht="15" customHeight="1" thickBot="1">
      <c r="A456" s="163"/>
      <c r="B456" s="320"/>
      <c r="C456" s="321"/>
      <c r="D456" s="321"/>
      <c r="E456" s="321"/>
      <c r="F456" s="321"/>
      <c r="G456" s="321"/>
      <c r="H456" s="322"/>
      <c r="I456" s="323">
        <v>602.6</v>
      </c>
      <c r="J456" s="324" t="s">
        <v>373</v>
      </c>
      <c r="K456" s="376">
        <f>SUM(K457+K458+K459+K460+K461)</f>
        <v>0</v>
      </c>
      <c r="L456" s="485">
        <f>SUM(L457+L458+L459+L460+L461)</f>
        <v>0</v>
      </c>
      <c r="M456" s="485">
        <f>SUM(M457+M458+M459+M460+M461)</f>
        <v>66000</v>
      </c>
      <c r="N456" s="801"/>
      <c r="Q456" s="247"/>
      <c r="R456" s="247"/>
    </row>
    <row r="457" spans="1:18" ht="15" customHeight="1">
      <c r="A457" s="163"/>
      <c r="B457" s="352"/>
      <c r="C457" s="353"/>
      <c r="D457" s="353"/>
      <c r="E457" s="353"/>
      <c r="F457" s="353"/>
      <c r="G457" s="353"/>
      <c r="H457" s="354"/>
      <c r="I457" s="360">
        <v>602.61</v>
      </c>
      <c r="J457" s="361" t="s">
        <v>374</v>
      </c>
      <c r="K457" s="364"/>
      <c r="L457" s="481"/>
      <c r="M457" s="481">
        <v>30000</v>
      </c>
      <c r="N457" s="801"/>
      <c r="Q457" s="247"/>
      <c r="R457" s="247"/>
    </row>
    <row r="458" spans="1:18" ht="15" customHeight="1">
      <c r="A458" s="163"/>
      <c r="B458" s="339"/>
      <c r="C458" s="340"/>
      <c r="D458" s="340"/>
      <c r="E458" s="340"/>
      <c r="F458" s="340"/>
      <c r="G458" s="340"/>
      <c r="H458" s="150"/>
      <c r="I458" s="341">
        <v>602.62</v>
      </c>
      <c r="J458" s="342" t="s">
        <v>375</v>
      </c>
      <c r="K458" s="365"/>
      <c r="L458" s="482"/>
      <c r="M458" s="482"/>
      <c r="N458" s="801"/>
      <c r="Q458" s="247"/>
      <c r="R458" s="247"/>
    </row>
    <row r="459" spans="1:18" ht="15" customHeight="1">
      <c r="A459" s="163"/>
      <c r="B459" s="339"/>
      <c r="C459" s="340"/>
      <c r="D459" s="340"/>
      <c r="E459" s="340"/>
      <c r="F459" s="340"/>
      <c r="G459" s="340"/>
      <c r="H459" s="150"/>
      <c r="I459" s="341">
        <v>602.63</v>
      </c>
      <c r="J459" s="342" t="s">
        <v>376</v>
      </c>
      <c r="K459" s="365"/>
      <c r="L459" s="482"/>
      <c r="M459" s="482"/>
      <c r="N459" s="801"/>
      <c r="Q459" s="247"/>
      <c r="R459" s="247"/>
    </row>
    <row r="460" spans="1:18" ht="15" customHeight="1">
      <c r="A460" s="163"/>
      <c r="B460" s="339"/>
      <c r="C460" s="340"/>
      <c r="D460" s="340"/>
      <c r="E460" s="340"/>
      <c r="F460" s="340"/>
      <c r="G460" s="340"/>
      <c r="H460" s="150"/>
      <c r="I460" s="341">
        <v>602.64</v>
      </c>
      <c r="J460" s="342" t="s">
        <v>377</v>
      </c>
      <c r="K460" s="365"/>
      <c r="L460" s="482"/>
      <c r="M460" s="482">
        <v>36000</v>
      </c>
      <c r="N460" s="140"/>
      <c r="Q460" s="247"/>
      <c r="R460" s="247"/>
    </row>
    <row r="461" spans="1:18" ht="15" customHeight="1" thickBot="1">
      <c r="A461" s="163"/>
      <c r="B461" s="345"/>
      <c r="C461" s="346"/>
      <c r="D461" s="346"/>
      <c r="E461" s="346"/>
      <c r="F461" s="346"/>
      <c r="G461" s="346"/>
      <c r="H461" s="164"/>
      <c r="I461" s="347">
        <v>602.69000000000005</v>
      </c>
      <c r="J461" s="348" t="s">
        <v>378</v>
      </c>
      <c r="K461" s="374"/>
      <c r="L461" s="486"/>
      <c r="M461" s="486"/>
      <c r="N461" s="801"/>
      <c r="Q461" s="247"/>
      <c r="R461" s="247"/>
    </row>
    <row r="462" spans="1:18" ht="15" customHeight="1" thickBot="1">
      <c r="A462" s="163"/>
      <c r="B462" s="320"/>
      <c r="C462" s="321"/>
      <c r="D462" s="321"/>
      <c r="E462" s="321"/>
      <c r="F462" s="321"/>
      <c r="G462" s="321"/>
      <c r="H462" s="322"/>
      <c r="I462" s="377">
        <v>602.70000000000005</v>
      </c>
      <c r="J462" s="324" t="s">
        <v>379</v>
      </c>
      <c r="K462" s="376">
        <f>SUM(K463+K464+K465+K466+K467+K468)</f>
        <v>0</v>
      </c>
      <c r="L462" s="485">
        <f>SUM(L463+L464+L465+L466+L467+L468)</f>
        <v>0</v>
      </c>
      <c r="M462" s="485">
        <f>SUM(M463:M468)</f>
        <v>1946343</v>
      </c>
      <c r="N462" s="140"/>
    </row>
    <row r="463" spans="1:18" ht="15" customHeight="1">
      <c r="A463" s="163"/>
      <c r="B463" s="352"/>
      <c r="C463" s="353"/>
      <c r="D463" s="353"/>
      <c r="E463" s="353"/>
      <c r="F463" s="353"/>
      <c r="G463" s="353"/>
      <c r="H463" s="354"/>
      <c r="I463" s="360">
        <v>602.71</v>
      </c>
      <c r="J463" s="361" t="s">
        <v>380</v>
      </c>
      <c r="K463" s="364"/>
      <c r="L463" s="481"/>
      <c r="M463" s="481"/>
      <c r="N463" s="804"/>
    </row>
    <row r="464" spans="1:18" ht="15" customHeight="1">
      <c r="A464" s="163"/>
      <c r="B464" s="339"/>
      <c r="C464" s="340"/>
      <c r="D464" s="340"/>
      <c r="E464" s="340"/>
      <c r="F464" s="340"/>
      <c r="G464" s="340"/>
      <c r="H464" s="150"/>
      <c r="I464" s="341">
        <v>602.72</v>
      </c>
      <c r="J464" s="342" t="s">
        <v>381</v>
      </c>
      <c r="K464" s="365"/>
      <c r="L464" s="482"/>
      <c r="M464" s="482"/>
      <c r="N464" s="801"/>
    </row>
    <row r="465" spans="1:14" ht="15" customHeight="1">
      <c r="A465" s="163"/>
      <c r="B465" s="339"/>
      <c r="C465" s="340"/>
      <c r="D465" s="340"/>
      <c r="E465" s="340"/>
      <c r="F465" s="340"/>
      <c r="G465" s="340"/>
      <c r="H465" s="150"/>
      <c r="I465" s="341">
        <v>602.73</v>
      </c>
      <c r="J465" s="342" t="s">
        <v>382</v>
      </c>
      <c r="K465" s="365"/>
      <c r="L465" s="482"/>
      <c r="M465" s="482"/>
      <c r="N465" s="801"/>
    </row>
    <row r="466" spans="1:14" ht="15" customHeight="1">
      <c r="A466" s="163"/>
      <c r="B466" s="339"/>
      <c r="C466" s="340"/>
      <c r="D466" s="340"/>
      <c r="E466" s="340"/>
      <c r="F466" s="340"/>
      <c r="G466" s="340"/>
      <c r="H466" s="150"/>
      <c r="I466" s="341">
        <v>602.74</v>
      </c>
      <c r="J466" s="342" t="s">
        <v>383</v>
      </c>
      <c r="K466" s="365"/>
      <c r="L466" s="781"/>
      <c r="M466" s="781">
        <v>1946343</v>
      </c>
      <c r="N466" s="801"/>
    </row>
    <row r="467" spans="1:14" ht="15" customHeight="1">
      <c r="A467" s="163"/>
      <c r="B467" s="339"/>
      <c r="C467" s="340"/>
      <c r="D467" s="340"/>
      <c r="E467" s="340"/>
      <c r="F467" s="340"/>
      <c r="G467" s="340"/>
      <c r="H467" s="150"/>
      <c r="I467" s="341">
        <v>602.75</v>
      </c>
      <c r="J467" s="342" t="s">
        <v>384</v>
      </c>
      <c r="K467" s="365"/>
      <c r="L467" s="482"/>
      <c r="M467" s="482"/>
      <c r="N467" s="801"/>
    </row>
    <row r="468" spans="1:14" ht="15" customHeight="1" thickBot="1">
      <c r="A468" s="163"/>
      <c r="B468" s="345"/>
      <c r="C468" s="346"/>
      <c r="D468" s="346"/>
      <c r="E468" s="346"/>
      <c r="F468" s="346"/>
      <c r="G468" s="346"/>
      <c r="H468" s="164"/>
      <c r="I468" s="347">
        <v>602.79</v>
      </c>
      <c r="J468" s="348" t="s">
        <v>385</v>
      </c>
      <c r="K468" s="374"/>
      <c r="L468" s="486"/>
      <c r="M468" s="486"/>
      <c r="N468" s="801"/>
    </row>
    <row r="469" spans="1:14" ht="15" customHeight="1" thickBot="1">
      <c r="A469" s="163"/>
      <c r="B469" s="320"/>
      <c r="C469" s="321"/>
      <c r="D469" s="321"/>
      <c r="E469" s="321"/>
      <c r="F469" s="321"/>
      <c r="G469" s="321"/>
      <c r="H469" s="322"/>
      <c r="I469" s="377">
        <v>602.79999999999995</v>
      </c>
      <c r="J469" s="324" t="s">
        <v>386</v>
      </c>
      <c r="K469" s="376">
        <f>SUM(K470+K471)</f>
        <v>0</v>
      </c>
      <c r="L469" s="485">
        <f>SUM(L470+L471)</f>
        <v>0</v>
      </c>
      <c r="M469" s="485">
        <f>SUM(M470+M471)</f>
        <v>0</v>
      </c>
      <c r="N469" s="804"/>
    </row>
    <row r="470" spans="1:14" ht="15" customHeight="1">
      <c r="A470" s="163"/>
      <c r="B470" s="352"/>
      <c r="C470" s="353"/>
      <c r="D470" s="353"/>
      <c r="E470" s="353"/>
      <c r="F470" s="353"/>
      <c r="G470" s="353"/>
      <c r="H470" s="354"/>
      <c r="I470" s="360">
        <v>602.80999999999995</v>
      </c>
      <c r="J470" s="361" t="s">
        <v>387</v>
      </c>
      <c r="K470" s="357"/>
      <c r="L470" s="473"/>
      <c r="M470" s="473"/>
      <c r="N470" s="801"/>
    </row>
    <row r="471" spans="1:14" ht="15" customHeight="1" thickBot="1">
      <c r="A471" s="163"/>
      <c r="B471" s="345"/>
      <c r="C471" s="346"/>
      <c r="D471" s="346"/>
      <c r="E471" s="346"/>
      <c r="F471" s="346"/>
      <c r="G471" s="346"/>
      <c r="H471" s="164"/>
      <c r="I471" s="347">
        <v>602.82000000000005</v>
      </c>
      <c r="J471" s="348" t="s">
        <v>388</v>
      </c>
      <c r="K471" s="349"/>
      <c r="L471" s="471"/>
      <c r="M471" s="471"/>
      <c r="N471" s="801"/>
    </row>
    <row r="472" spans="1:14" ht="15" customHeight="1" thickBot="1">
      <c r="A472" s="163"/>
      <c r="B472" s="320"/>
      <c r="C472" s="321"/>
      <c r="D472" s="321"/>
      <c r="E472" s="321"/>
      <c r="F472" s="321"/>
      <c r="G472" s="321"/>
      <c r="H472" s="322"/>
      <c r="I472" s="323">
        <v>602.9</v>
      </c>
      <c r="J472" s="324" t="s">
        <v>389</v>
      </c>
      <c r="K472" s="376">
        <f>SUM(K473+K474+K475+K476+K477+K478+K479+K480+K481)</f>
        <v>0</v>
      </c>
      <c r="L472" s="485">
        <f>SUM(L473+L474+L475+L476+L477+L478+L479+L480+L481)</f>
        <v>0</v>
      </c>
      <c r="M472" s="485">
        <f>SUM(M473+M474+M475+M476+M477+M478+M479+M480+M481)</f>
        <v>533500</v>
      </c>
      <c r="N472" s="801"/>
    </row>
    <row r="473" spans="1:14" ht="15" customHeight="1">
      <c r="A473" s="163"/>
      <c r="B473" s="332"/>
      <c r="C473" s="333"/>
      <c r="D473" s="333"/>
      <c r="E473" s="333"/>
      <c r="F473" s="333"/>
      <c r="G473" s="333"/>
      <c r="H473" s="334"/>
      <c r="I473" s="335">
        <v>602.90009999999995</v>
      </c>
      <c r="J473" s="336" t="s">
        <v>390</v>
      </c>
      <c r="K473" s="338"/>
      <c r="L473" s="487"/>
      <c r="M473" s="487"/>
      <c r="N473" s="801"/>
    </row>
    <row r="474" spans="1:14" ht="15" customHeight="1">
      <c r="A474" s="163"/>
      <c r="B474" s="339"/>
      <c r="C474" s="340"/>
      <c r="D474" s="340"/>
      <c r="E474" s="340"/>
      <c r="F474" s="340"/>
      <c r="G474" s="340"/>
      <c r="H474" s="150"/>
      <c r="I474" s="341">
        <v>602.90020000000004</v>
      </c>
      <c r="J474" s="342" t="s">
        <v>392</v>
      </c>
      <c r="K474" s="344"/>
      <c r="L474" s="474"/>
      <c r="M474" s="474"/>
      <c r="N474" s="801"/>
    </row>
    <row r="475" spans="1:14" ht="15" customHeight="1">
      <c r="A475" s="163"/>
      <c r="B475" s="339"/>
      <c r="C475" s="340"/>
      <c r="D475" s="340"/>
      <c r="E475" s="340"/>
      <c r="F475" s="340"/>
      <c r="G475" s="340"/>
      <c r="H475" s="150"/>
      <c r="I475" s="341">
        <v>602.90030000000002</v>
      </c>
      <c r="J475" s="342" t="s">
        <v>391</v>
      </c>
      <c r="K475" s="344"/>
      <c r="L475" s="474"/>
      <c r="M475" s="474"/>
      <c r="N475" s="801"/>
    </row>
    <row r="476" spans="1:14" ht="15" customHeight="1">
      <c r="A476" s="163"/>
      <c r="B476" s="339"/>
      <c r="C476" s="340"/>
      <c r="D476" s="340"/>
      <c r="E476" s="340"/>
      <c r="F476" s="340"/>
      <c r="G476" s="340"/>
      <c r="H476" s="150"/>
      <c r="I476" s="341">
        <v>602.90039999999999</v>
      </c>
      <c r="J476" s="342" t="s">
        <v>393</v>
      </c>
      <c r="K476" s="344"/>
      <c r="L476" s="474"/>
      <c r="M476" s="474"/>
      <c r="N476" s="804"/>
    </row>
    <row r="477" spans="1:14" ht="15" customHeight="1">
      <c r="A477" s="163"/>
      <c r="B477" s="339"/>
      <c r="C477" s="340"/>
      <c r="D477" s="340"/>
      <c r="E477" s="340"/>
      <c r="F477" s="340"/>
      <c r="G477" s="340"/>
      <c r="H477" s="150"/>
      <c r="I477" s="341">
        <v>602.90049999999997</v>
      </c>
      <c r="J477" s="342" t="s">
        <v>394</v>
      </c>
      <c r="K477" s="344"/>
      <c r="L477" s="474"/>
      <c r="M477" s="474">
        <v>533500</v>
      </c>
      <c r="N477" s="800">
        <f>P469</f>
        <v>0</v>
      </c>
    </row>
    <row r="478" spans="1:14" ht="15" customHeight="1">
      <c r="A478" s="163"/>
      <c r="B478" s="339"/>
      <c r="C478" s="340"/>
      <c r="D478" s="340"/>
      <c r="E478" s="340"/>
      <c r="F478" s="340"/>
      <c r="G478" s="340"/>
      <c r="H478" s="150"/>
      <c r="I478" s="341">
        <v>602.90060000000005</v>
      </c>
      <c r="J478" s="342" t="s">
        <v>395</v>
      </c>
      <c r="K478" s="344"/>
      <c r="L478" s="474"/>
      <c r="M478" s="474"/>
      <c r="N478" s="800"/>
    </row>
    <row r="479" spans="1:14" ht="15" customHeight="1">
      <c r="A479" s="163"/>
      <c r="B479" s="339"/>
      <c r="C479" s="340"/>
      <c r="D479" s="340"/>
      <c r="E479" s="340"/>
      <c r="F479" s="340"/>
      <c r="G479" s="340"/>
      <c r="H479" s="150"/>
      <c r="I479" s="341">
        <v>602.90070000000003</v>
      </c>
      <c r="J479" s="342" t="s">
        <v>396</v>
      </c>
      <c r="K479" s="343"/>
      <c r="L479" s="470"/>
      <c r="M479" s="470"/>
      <c r="N479" s="804"/>
    </row>
    <row r="480" spans="1:14" ht="15" customHeight="1">
      <c r="A480" s="163"/>
      <c r="B480" s="339"/>
      <c r="C480" s="340"/>
      <c r="D480" s="340"/>
      <c r="E480" s="340"/>
      <c r="F480" s="340"/>
      <c r="G480" s="340"/>
      <c r="H480" s="150"/>
      <c r="I480" s="341">
        <v>602.90080000000103</v>
      </c>
      <c r="J480" s="342" t="s">
        <v>397</v>
      </c>
      <c r="K480" s="344"/>
      <c r="L480" s="474"/>
      <c r="M480" s="474"/>
      <c r="N480" s="802"/>
    </row>
    <row r="481" spans="1:21" ht="15" customHeight="1" thickBot="1">
      <c r="A481" s="163"/>
      <c r="B481" s="345"/>
      <c r="C481" s="346"/>
      <c r="D481" s="346"/>
      <c r="E481" s="346"/>
      <c r="F481" s="346"/>
      <c r="G481" s="346"/>
      <c r="H481" s="164"/>
      <c r="I481" s="347">
        <v>602.900900000001</v>
      </c>
      <c r="J481" s="348" t="s">
        <v>398</v>
      </c>
      <c r="K481" s="350"/>
      <c r="L481" s="480"/>
      <c r="M481" s="480"/>
      <c r="N481" s="802"/>
    </row>
    <row r="482" spans="1:21" ht="15" customHeight="1" thickBot="1">
      <c r="A482" s="163"/>
      <c r="B482" s="732"/>
      <c r="C482" s="733"/>
      <c r="D482" s="733"/>
      <c r="E482" s="733"/>
      <c r="F482" s="733"/>
      <c r="G482" s="776"/>
      <c r="H482" s="777">
        <v>606</v>
      </c>
      <c r="I482" s="735">
        <v>606.91</v>
      </c>
      <c r="J482" s="736" t="s">
        <v>406</v>
      </c>
      <c r="K482" s="737"/>
      <c r="L482" s="725"/>
      <c r="M482" s="725"/>
      <c r="N482" s="802"/>
    </row>
    <row r="483" spans="1:21" ht="15" customHeight="1" thickBot="1">
      <c r="A483" s="163"/>
      <c r="B483" s="385"/>
      <c r="C483" s="386"/>
      <c r="D483" s="386"/>
      <c r="E483" s="692">
        <v>6</v>
      </c>
      <c r="F483" s="386"/>
      <c r="G483" s="778">
        <v>10430</v>
      </c>
      <c r="H483" s="779">
        <v>231</v>
      </c>
      <c r="I483" s="390"/>
      <c r="J483" s="391" t="s">
        <v>435</v>
      </c>
      <c r="K483" s="388"/>
      <c r="L483" s="388"/>
      <c r="M483" s="388"/>
      <c r="N483" s="802"/>
    </row>
    <row r="484" spans="1:21" ht="15" customHeight="1">
      <c r="A484" s="163"/>
      <c r="B484" s="5"/>
      <c r="C484" s="163"/>
      <c r="D484" s="163"/>
      <c r="E484" s="741"/>
      <c r="F484" s="163"/>
      <c r="G484" s="844"/>
      <c r="H484" s="845"/>
      <c r="I484" s="163"/>
      <c r="J484" s="744"/>
      <c r="K484" s="380"/>
      <c r="L484" s="380"/>
      <c r="M484" s="380"/>
      <c r="N484" s="802"/>
    </row>
    <row r="485" spans="1:21" ht="15.95" customHeight="1">
      <c r="A485" s="163"/>
      <c r="B485" s="224"/>
      <c r="C485" s="703" t="s">
        <v>401</v>
      </c>
      <c r="D485" s="163"/>
      <c r="E485" s="163"/>
      <c r="F485" s="163"/>
      <c r="G485" s="163"/>
      <c r="H485" s="163"/>
      <c r="I485" s="163"/>
      <c r="J485" s="379"/>
      <c r="K485" s="380"/>
      <c r="L485" s="488"/>
      <c r="M485" s="488"/>
      <c r="N485" s="802"/>
    </row>
    <row r="486" spans="1:21" ht="15.95" customHeight="1">
      <c r="A486" s="163"/>
      <c r="B486" s="224"/>
      <c r="C486" s="703" t="s">
        <v>433</v>
      </c>
      <c r="D486" s="163"/>
      <c r="E486" s="163"/>
      <c r="F486" s="163"/>
      <c r="G486" s="163"/>
      <c r="H486" s="163"/>
      <c r="I486" s="163"/>
      <c r="J486" s="379"/>
      <c r="K486" s="382"/>
      <c r="L486" s="490"/>
      <c r="M486" s="490"/>
      <c r="N486" s="802"/>
    </row>
    <row r="487" spans="1:21" ht="15.95" customHeight="1">
      <c r="A487" s="163"/>
      <c r="B487" s="224"/>
      <c r="C487" s="163"/>
      <c r="D487" s="383" t="s">
        <v>402</v>
      </c>
      <c r="E487" s="383"/>
      <c r="F487" s="383"/>
      <c r="G487" s="383"/>
      <c r="H487" s="163"/>
      <c r="J487" s="384" t="s">
        <v>411</v>
      </c>
      <c r="K487" s="488"/>
      <c r="L487" s="488"/>
      <c r="M487" s="488"/>
      <c r="N487" s="800"/>
    </row>
    <row r="488" spans="1:21" ht="15.95" customHeight="1">
      <c r="A488" s="163"/>
      <c r="B488" s="224"/>
      <c r="C488" s="163"/>
      <c r="D488" s="704" t="s">
        <v>439</v>
      </c>
      <c r="E488" s="383"/>
      <c r="F488" s="383"/>
      <c r="G488" s="383"/>
      <c r="H488" s="383"/>
      <c r="I488" s="383"/>
      <c r="J488" s="149"/>
      <c r="K488" s="702" t="s">
        <v>440</v>
      </c>
      <c r="L488" s="489"/>
      <c r="M488" s="489"/>
      <c r="N488" s="802"/>
    </row>
    <row r="489" spans="1:21" ht="15.95" customHeight="1">
      <c r="A489" s="163"/>
      <c r="B489" s="163"/>
      <c r="C489" s="163"/>
      <c r="D489" s="163"/>
      <c r="E489" s="163"/>
      <c r="F489" s="163"/>
      <c r="G489" s="163"/>
      <c r="H489" s="163"/>
      <c r="I489" s="163"/>
      <c r="J489" s="5"/>
      <c r="K489" s="381"/>
      <c r="L489" s="489"/>
      <c r="M489" s="489"/>
      <c r="N489" s="802"/>
    </row>
    <row r="490" spans="1:21" ht="15.95" customHeight="1">
      <c r="A490" s="163"/>
      <c r="B490" s="5"/>
      <c r="C490" s="163"/>
      <c r="D490" s="163"/>
      <c r="E490" s="703" t="s">
        <v>487</v>
      </c>
      <c r="F490" s="163"/>
      <c r="G490" s="839"/>
      <c r="H490" s="163"/>
      <c r="I490" s="163"/>
      <c r="J490" s="744"/>
      <c r="K490" s="380"/>
      <c r="L490" s="380"/>
      <c r="M490" s="380"/>
      <c r="N490" s="380"/>
    </row>
    <row r="491" spans="1:21" ht="18.75" customHeight="1">
      <c r="A491" s="163"/>
      <c r="B491" s="163"/>
      <c r="C491" s="163"/>
      <c r="D491" s="3043" t="s">
        <v>486</v>
      </c>
      <c r="E491" s="3043"/>
      <c r="F491" s="3043"/>
      <c r="G491" s="3043"/>
      <c r="H491" s="3043"/>
      <c r="I491" s="3043"/>
      <c r="J491" s="3043"/>
      <c r="K491" s="380"/>
      <c r="L491" s="488"/>
      <c r="M491" s="488"/>
      <c r="N491" s="488"/>
    </row>
    <row r="492" spans="1:21" ht="6.75" customHeight="1">
      <c r="A492" s="163"/>
      <c r="B492" s="163"/>
      <c r="C492" s="163"/>
      <c r="D492" s="163"/>
      <c r="E492" s="163"/>
      <c r="F492" s="163"/>
      <c r="G492" s="163"/>
      <c r="H492" s="163"/>
      <c r="I492" s="163"/>
      <c r="J492" s="5"/>
      <c r="K492" s="381"/>
      <c r="L492" s="489"/>
      <c r="M492" s="489"/>
      <c r="N492" s="489"/>
    </row>
    <row r="493" spans="1:21" ht="15">
      <c r="A493" s="163"/>
      <c r="B493" s="163"/>
      <c r="C493" s="925"/>
      <c r="D493" s="3044" t="s">
        <v>485</v>
      </c>
      <c r="E493" s="3044"/>
      <c r="F493" s="3044"/>
      <c r="G493" s="3044"/>
      <c r="H493" s="3044"/>
      <c r="I493" s="3044"/>
      <c r="J493" s="3044"/>
      <c r="K493" s="382"/>
      <c r="L493" s="490"/>
      <c r="M493" s="490"/>
      <c r="N493" s="490"/>
    </row>
    <row r="494" spans="1:21" ht="15">
      <c r="A494" s="163"/>
      <c r="B494" s="163"/>
      <c r="C494" s="925"/>
      <c r="D494" s="926"/>
      <c r="E494" s="926"/>
      <c r="F494" s="926"/>
      <c r="G494" s="926"/>
      <c r="H494" s="926"/>
      <c r="I494" s="925"/>
      <c r="J494" s="927"/>
      <c r="K494" s="382"/>
      <c r="L494" s="490"/>
      <c r="M494" s="490"/>
      <c r="N494" s="490"/>
    </row>
    <row r="495" spans="1:21" ht="15">
      <c r="A495" s="163"/>
      <c r="B495" s="163">
        <v>1</v>
      </c>
      <c r="C495" s="925"/>
      <c r="D495" s="925" t="s">
        <v>477</v>
      </c>
      <c r="E495" s="925"/>
      <c r="F495" s="925"/>
      <c r="G495" s="925"/>
      <c r="H495" s="925"/>
      <c r="I495" s="928"/>
      <c r="J495" s="925"/>
      <c r="K495" s="384"/>
      <c r="L495" s="488"/>
      <c r="M495" s="488"/>
      <c r="N495" s="488"/>
    </row>
    <row r="496" spans="1:21" ht="14.25">
      <c r="A496" s="163"/>
      <c r="B496" s="163">
        <v>2</v>
      </c>
      <c r="C496" s="925"/>
      <c r="D496" s="3045" t="s">
        <v>478</v>
      </c>
      <c r="E496" s="3045"/>
      <c r="F496" s="3045"/>
      <c r="G496" s="3045"/>
      <c r="H496" s="3045"/>
      <c r="I496" s="3045"/>
      <c r="J496" s="3045"/>
      <c r="K496" s="398"/>
      <c r="L496" s="489"/>
      <c r="M496" s="489"/>
      <c r="N496" s="489"/>
      <c r="O496" s="220"/>
      <c r="P496" s="220"/>
      <c r="Q496" s="220"/>
      <c r="R496" s="220"/>
      <c r="S496" s="220"/>
      <c r="T496" s="220"/>
      <c r="U496" s="220"/>
    </row>
    <row r="497" spans="1:14" ht="14.25">
      <c r="B497" s="5">
        <v>3</v>
      </c>
      <c r="C497" s="928"/>
      <c r="D497" s="3045" t="s">
        <v>479</v>
      </c>
      <c r="E497" s="3045"/>
      <c r="F497" s="3045"/>
      <c r="G497" s="3045"/>
      <c r="H497" s="3045"/>
      <c r="I497" s="3045"/>
      <c r="J497" s="3045"/>
      <c r="K497" s="5"/>
      <c r="L497" s="683"/>
      <c r="M497" s="683"/>
      <c r="N497" s="683"/>
    </row>
    <row r="498" spans="1:14" ht="14.25">
      <c r="B498" s="163">
        <v>4</v>
      </c>
      <c r="C498" s="928"/>
      <c r="D498" s="3045" t="s">
        <v>480</v>
      </c>
      <c r="E498" s="3045"/>
      <c r="F498" s="3045"/>
      <c r="G498" s="3045"/>
      <c r="H498" s="3045"/>
      <c r="I498" s="3045"/>
      <c r="J498" s="3045"/>
      <c r="K498" s="5"/>
      <c r="L498" s="683"/>
      <c r="M498" s="683"/>
      <c r="N498" s="683"/>
    </row>
    <row r="499" spans="1:14" ht="14.25" customHeight="1">
      <c r="B499" s="163">
        <v>5</v>
      </c>
      <c r="C499" s="928"/>
      <c r="D499" s="3045" t="s">
        <v>481</v>
      </c>
      <c r="E499" s="3045"/>
      <c r="F499" s="3045"/>
      <c r="G499" s="3045"/>
      <c r="H499" s="3045"/>
      <c r="I499" s="3045"/>
      <c r="J499" s="3045"/>
      <c r="K499" s="5"/>
      <c r="L499" s="683"/>
      <c r="M499" s="683"/>
      <c r="N499" s="683"/>
    </row>
    <row r="500" spans="1:14" ht="14.25">
      <c r="A500" s="163"/>
      <c r="B500" s="163">
        <v>6</v>
      </c>
      <c r="C500" s="929"/>
      <c r="D500" s="3047" t="s">
        <v>484</v>
      </c>
      <c r="E500" s="3047"/>
      <c r="F500" s="3047"/>
      <c r="G500" s="3047"/>
      <c r="H500" s="3047"/>
      <c r="I500" s="3047"/>
      <c r="J500" s="3047"/>
      <c r="K500" s="211"/>
      <c r="L500" s="211"/>
      <c r="M500" s="211"/>
      <c r="N500" s="211"/>
    </row>
    <row r="501" spans="1:14" ht="14.25">
      <c r="A501" s="163"/>
      <c r="B501" s="163"/>
      <c r="C501" s="929"/>
      <c r="D501" s="3047" t="s">
        <v>483</v>
      </c>
      <c r="E501" s="3047"/>
      <c r="F501" s="3047"/>
      <c r="G501" s="3047"/>
      <c r="H501" s="3047"/>
      <c r="I501" s="3047"/>
      <c r="J501" s="3047"/>
      <c r="K501" s="211"/>
      <c r="L501" s="211"/>
      <c r="M501" s="211"/>
      <c r="N501" s="211"/>
    </row>
    <row r="502" spans="1:14" ht="15">
      <c r="A502" s="163"/>
      <c r="B502" s="163"/>
      <c r="C502" s="210"/>
      <c r="D502" s="3043" t="s">
        <v>482</v>
      </c>
      <c r="E502" s="3043"/>
      <c r="F502" s="3043"/>
      <c r="G502" s="3043"/>
      <c r="H502" s="3043"/>
      <c r="I502" s="3043"/>
      <c r="J502" s="3043"/>
      <c r="K502" s="215"/>
      <c r="L502" s="210"/>
      <c r="M502" s="210"/>
      <c r="N502" s="210"/>
    </row>
    <row r="503" spans="1:14">
      <c r="A503" s="163"/>
      <c r="B503" s="239"/>
      <c r="C503" s="233"/>
      <c r="D503" s="233"/>
      <c r="E503" s="235"/>
      <c r="F503" s="235"/>
      <c r="G503" s="235"/>
      <c r="H503" s="235"/>
      <c r="I503" s="235"/>
      <c r="J503" s="686"/>
      <c r="K503" s="240"/>
      <c r="L503" s="457"/>
      <c r="M503" s="739"/>
      <c r="N503" s="149"/>
    </row>
    <row r="504" spans="1:14" ht="28.5" customHeight="1">
      <c r="A504" s="163"/>
      <c r="B504" s="163"/>
      <c r="C504" s="210"/>
      <c r="D504" s="210"/>
      <c r="E504" s="210"/>
      <c r="F504" s="210"/>
      <c r="G504" s="210"/>
      <c r="H504" s="211"/>
      <c r="I504" s="211"/>
      <c r="J504" s="211"/>
      <c r="K504" s="211"/>
      <c r="L504" s="212"/>
      <c r="M504" s="212"/>
      <c r="N504" s="488"/>
    </row>
    <row r="505" spans="1:14" ht="12.6" customHeight="1">
      <c r="B505" s="163"/>
      <c r="C505" s="210"/>
      <c r="D505" s="210"/>
      <c r="E505" s="210"/>
      <c r="F505" s="210"/>
      <c r="G505" s="210"/>
      <c r="H505" s="210"/>
      <c r="I505" s="830"/>
      <c r="J505" s="845"/>
      <c r="K505" s="830"/>
      <c r="L505" s="835"/>
      <c r="M505" s="835"/>
      <c r="N505" s="489"/>
    </row>
    <row r="506" spans="1:14" ht="12.6" customHeight="1">
      <c r="B506" s="216"/>
      <c r="C506" s="217"/>
      <c r="D506" s="217"/>
      <c r="E506" s="218"/>
      <c r="F506" s="218"/>
      <c r="G506" s="218"/>
      <c r="H506" s="218"/>
      <c r="I506" s="911"/>
      <c r="J506" s="911"/>
      <c r="K506" s="912"/>
      <c r="L506" s="913"/>
      <c r="M506" s="913"/>
      <c r="N506" s="489"/>
    </row>
    <row r="507" spans="1:14" ht="12.6" customHeight="1">
      <c r="B507" s="221"/>
      <c r="C507" s="218" t="s">
        <v>301</v>
      </c>
      <c r="D507" s="218"/>
      <c r="E507" s="218"/>
      <c r="F507" s="218"/>
      <c r="G507" s="218"/>
      <c r="H507" s="218"/>
      <c r="I507" s="911"/>
      <c r="J507" s="914"/>
      <c r="K507" s="911"/>
      <c r="L507" s="913"/>
      <c r="M507" s="913"/>
      <c r="N507" s="489"/>
    </row>
    <row r="508" spans="1:14" ht="12.6" customHeight="1">
      <c r="B508" s="221"/>
      <c r="C508" s="218" t="s">
        <v>415</v>
      </c>
      <c r="D508" s="218"/>
      <c r="E508" s="218"/>
      <c r="F508" s="223"/>
      <c r="G508" s="218"/>
      <c r="H508" s="218"/>
      <c r="I508" s="911"/>
      <c r="J508" s="911"/>
      <c r="K508" s="913"/>
      <c r="L508" s="914"/>
      <c r="M508" s="913"/>
      <c r="N508" s="683"/>
    </row>
    <row r="509" spans="1:14" ht="12.6" customHeight="1">
      <c r="A509" s="163"/>
      <c r="B509" s="224"/>
      <c r="C509" s="224"/>
      <c r="E509" s="224"/>
      <c r="F509" s="224"/>
      <c r="G509" s="392" t="s">
        <v>416</v>
      </c>
      <c r="H509" s="224"/>
      <c r="I509" s="915"/>
      <c r="J509" s="65"/>
      <c r="K509" s="916"/>
      <c r="L509" s="917"/>
      <c r="M509" s="917"/>
      <c r="N509" s="211"/>
    </row>
    <row r="510" spans="1:14" ht="12.6" customHeight="1">
      <c r="A510" s="394"/>
      <c r="B510" s="5"/>
      <c r="C510" s="383" t="s">
        <v>300</v>
      </c>
      <c r="D510" s="226"/>
      <c r="E510" s="5"/>
      <c r="F510" s="163"/>
      <c r="G510" s="226"/>
      <c r="H510" s="214"/>
      <c r="I510" s="910"/>
      <c r="J510" s="918"/>
      <c r="K510" s="912" t="s">
        <v>495</v>
      </c>
      <c r="L510" s="919"/>
      <c r="M510" s="919"/>
      <c r="N510" s="210"/>
    </row>
    <row r="511" spans="1:14" s="220" customFormat="1" ht="12.6" customHeight="1">
      <c r="A511" s="395"/>
      <c r="B511" s="233"/>
      <c r="C511" s="233"/>
      <c r="D511" s="237"/>
      <c r="E511" s="233"/>
      <c r="F511" s="233"/>
      <c r="G511" s="234"/>
      <c r="H511" s="235"/>
      <c r="I511" s="920"/>
      <c r="J511" s="921" t="s">
        <v>423</v>
      </c>
      <c r="K511" s="238"/>
      <c r="L511" s="456"/>
      <c r="M511" s="456"/>
      <c r="N511" s="452"/>
    </row>
    <row r="512" spans="1:14" s="223" customFormat="1" ht="24" customHeight="1" thickBot="1">
      <c r="A512" s="163"/>
      <c r="B512" s="239"/>
      <c r="C512" s="233"/>
      <c r="D512" s="233"/>
      <c r="E512" s="235"/>
      <c r="F512" s="235"/>
      <c r="G512" s="235"/>
      <c r="H512" s="235"/>
      <c r="I512" s="922"/>
      <c r="J512" s="924" t="s">
        <v>494</v>
      </c>
      <c r="K512" s="922"/>
      <c r="L512" s="739"/>
      <c r="M512" s="923"/>
      <c r="N512" s="453"/>
    </row>
    <row r="513" spans="1:19" s="223" customFormat="1" ht="80.25" thickBot="1">
      <c r="A513" s="163"/>
      <c r="B513" s="689" t="s">
        <v>137</v>
      </c>
      <c r="C513" s="690" t="s">
        <v>138</v>
      </c>
      <c r="D513" s="689" t="s">
        <v>139</v>
      </c>
      <c r="E513" s="689" t="s">
        <v>140</v>
      </c>
      <c r="F513" s="689" t="s">
        <v>141</v>
      </c>
      <c r="G513" s="689" t="s">
        <v>142</v>
      </c>
      <c r="H513" s="691" t="s">
        <v>126</v>
      </c>
      <c r="I513" s="689" t="s">
        <v>143</v>
      </c>
      <c r="J513" s="684" t="s">
        <v>304</v>
      </c>
      <c r="K513" s="245" t="s">
        <v>434</v>
      </c>
      <c r="L513" s="937" t="s">
        <v>502</v>
      </c>
      <c r="M513" s="685" t="s">
        <v>305</v>
      </c>
      <c r="N513" s="453"/>
    </row>
    <row r="514" spans="1:19" ht="13.5" customHeight="1" thickBot="1">
      <c r="A514" s="163"/>
      <c r="B514" s="248" t="s">
        <v>148</v>
      </c>
      <c r="C514" s="249">
        <v>25</v>
      </c>
      <c r="D514" s="517" t="s">
        <v>267</v>
      </c>
      <c r="E514" s="250">
        <v>1</v>
      </c>
      <c r="F514" s="250">
        <v>1111</v>
      </c>
      <c r="G514" s="694">
        <v>10430</v>
      </c>
      <c r="H514" s="251"/>
      <c r="I514" s="252"/>
      <c r="J514" s="687" t="s">
        <v>308</v>
      </c>
      <c r="K514" s="254">
        <f>SUM(K515+K516+K517+K518)</f>
        <v>0</v>
      </c>
      <c r="L514" s="459">
        <f>SUM(L515+L516+L517+L518)</f>
        <v>0</v>
      </c>
      <c r="M514" s="459"/>
      <c r="N514" s="210"/>
    </row>
    <row r="515" spans="1:19" ht="15" customHeight="1">
      <c r="A515" s="163"/>
      <c r="B515" s="255"/>
      <c r="C515" s="256"/>
      <c r="D515" s="256"/>
      <c r="E515" s="256">
        <v>1</v>
      </c>
      <c r="F515" s="256"/>
      <c r="G515" s="256"/>
      <c r="H515" s="257"/>
      <c r="I515" s="258"/>
      <c r="J515" s="259" t="s">
        <v>309</v>
      </c>
      <c r="K515" s="260"/>
      <c r="L515" s="460"/>
      <c r="M515" s="460"/>
      <c r="N515" s="826"/>
    </row>
    <row r="516" spans="1:19" ht="15" customHeight="1">
      <c r="A516" s="163"/>
      <c r="B516" s="262"/>
      <c r="C516" s="263"/>
      <c r="D516" s="263"/>
      <c r="E516" s="263">
        <v>5</v>
      </c>
      <c r="F516" s="263"/>
      <c r="G516" s="263"/>
      <c r="H516" s="264"/>
      <c r="I516" s="265"/>
      <c r="J516" s="266" t="s">
        <v>310</v>
      </c>
      <c r="K516" s="267"/>
      <c r="L516" s="461"/>
      <c r="M516" s="461"/>
      <c r="N516" s="826"/>
    </row>
    <row r="517" spans="1:19" ht="13.5" customHeight="1">
      <c r="A517" s="163"/>
      <c r="B517" s="262"/>
      <c r="C517" s="263"/>
      <c r="D517" s="263"/>
      <c r="E517" s="263">
        <v>5</v>
      </c>
      <c r="F517" s="263"/>
      <c r="G517" s="263"/>
      <c r="H517" s="264"/>
      <c r="I517" s="265"/>
      <c r="J517" s="266" t="s">
        <v>311</v>
      </c>
      <c r="K517" s="267"/>
      <c r="L517" s="461"/>
      <c r="M517" s="461"/>
      <c r="N517" s="826"/>
    </row>
    <row r="518" spans="1:19" ht="26.25" customHeight="1" thickBot="1">
      <c r="A518" s="396"/>
      <c r="B518" s="269"/>
      <c r="C518" s="270"/>
      <c r="D518" s="270"/>
      <c r="E518" s="270">
        <v>6</v>
      </c>
      <c r="F518" s="270"/>
      <c r="G518" s="270"/>
      <c r="H518" s="271"/>
      <c r="I518" s="272"/>
      <c r="J518" s="273" t="s">
        <v>312</v>
      </c>
      <c r="K518" s="274"/>
      <c r="L518" s="462"/>
      <c r="M518" s="462"/>
      <c r="N518" s="828"/>
    </row>
    <row r="519" spans="1:19" ht="22.5" customHeight="1" thickBot="1">
      <c r="A519" s="396"/>
      <c r="B519" s="276"/>
      <c r="C519" s="277"/>
      <c r="D519" s="277"/>
      <c r="E519" s="277"/>
      <c r="F519" s="277"/>
      <c r="G519" s="277"/>
      <c r="H519" s="277"/>
      <c r="I519" s="278"/>
      <c r="J519" s="688" t="s">
        <v>313</v>
      </c>
      <c r="K519" s="740">
        <f>SUM(K520+K535+K538+K617+K618)</f>
        <v>68360</v>
      </c>
      <c r="L519" s="574">
        <f>SUM(L520+L535+L538+L617+L618)</f>
        <v>40152</v>
      </c>
      <c r="M519" s="574">
        <f>SUM(M520+M535+M538+M617+M618)</f>
        <v>37313538</v>
      </c>
      <c r="N519" s="457"/>
      <c r="P519" s="682"/>
    </row>
    <row r="520" spans="1:19" s="247" customFormat="1" ht="21.75" customHeight="1" thickBot="1">
      <c r="A520" s="396"/>
      <c r="B520" s="280"/>
      <c r="C520" s="281"/>
      <c r="D520" s="281"/>
      <c r="E520" s="281"/>
      <c r="F520" s="281"/>
      <c r="G520" s="281"/>
      <c r="H520" s="693">
        <v>600</v>
      </c>
      <c r="I520" s="283"/>
      <c r="J520" s="284" t="s">
        <v>314</v>
      </c>
      <c r="K520" s="285">
        <f>SUM(K521+K522+K523+K524+K525+K526+K527+K528+K529+K530+K531+K532+K533+K534)</f>
        <v>41700</v>
      </c>
      <c r="L520" s="285">
        <f>L521+L531+L534</f>
        <v>21822</v>
      </c>
      <c r="M520" s="719">
        <f>M521+M531+M534</f>
        <v>19395982</v>
      </c>
      <c r="N520" s="829"/>
    </row>
    <row r="521" spans="1:19" s="247" customFormat="1" ht="15" customHeight="1">
      <c r="A521" s="396"/>
      <c r="B521" s="287"/>
      <c r="C521" s="288"/>
      <c r="D521" s="288"/>
      <c r="E521" s="288"/>
      <c r="F521" s="288"/>
      <c r="G521" s="288"/>
      <c r="H521" s="289"/>
      <c r="I521" s="290">
        <v>600.1</v>
      </c>
      <c r="J521" s="696" t="s">
        <v>315</v>
      </c>
      <c r="K521" s="817">
        <v>41700</v>
      </c>
      <c r="L521" s="747">
        <v>21822</v>
      </c>
      <c r="M521" s="932">
        <f>SUM(M522:M526)</f>
        <v>19288118</v>
      </c>
      <c r="N521" s="832"/>
    </row>
    <row r="522" spans="1:19" s="247" customFormat="1" ht="15" customHeight="1">
      <c r="A522" s="396"/>
      <c r="B522" s="292"/>
      <c r="C522" s="293"/>
      <c r="D522" s="293"/>
      <c r="E522" s="293"/>
      <c r="F522" s="293"/>
      <c r="G522" s="293"/>
      <c r="H522" s="294"/>
      <c r="I522" s="295">
        <v>600.1001</v>
      </c>
      <c r="J522" s="697" t="s">
        <v>316</v>
      </c>
      <c r="K522" s="297"/>
      <c r="L522" s="782"/>
      <c r="M522" s="933">
        <v>14110832</v>
      </c>
      <c r="N522" s="832"/>
      <c r="O522" s="935"/>
      <c r="P522" s="930"/>
    </row>
    <row r="523" spans="1:19" s="247" customFormat="1" ht="15" customHeight="1">
      <c r="A523" s="396"/>
      <c r="B523" s="292"/>
      <c r="C523" s="293"/>
      <c r="D523" s="293"/>
      <c r="E523" s="293"/>
      <c r="F523" s="293"/>
      <c r="G523" s="293"/>
      <c r="H523" s="294"/>
      <c r="I523" s="295">
        <v>600.10019999999997</v>
      </c>
      <c r="J523" s="697" t="s">
        <v>317</v>
      </c>
      <c r="K523" s="297"/>
      <c r="L523" s="782"/>
      <c r="M523" s="933">
        <v>14978</v>
      </c>
      <c r="N523" s="832"/>
      <c r="O523" s="930"/>
      <c r="P523" s="930"/>
    </row>
    <row r="524" spans="1:19" s="247" customFormat="1" ht="15" customHeight="1">
      <c r="A524" s="396"/>
      <c r="B524" s="292"/>
      <c r="C524" s="293"/>
      <c r="D524" s="293"/>
      <c r="E524" s="293"/>
      <c r="F524" s="293"/>
      <c r="G524" s="293"/>
      <c r="H524" s="294"/>
      <c r="I524" s="295">
        <v>600.10029999999995</v>
      </c>
      <c r="J524" s="697" t="s">
        <v>318</v>
      </c>
      <c r="K524" s="297"/>
      <c r="L524" s="782"/>
      <c r="M524" s="933">
        <v>1067579</v>
      </c>
      <c r="N524" s="832"/>
      <c r="O524" s="935"/>
      <c r="P524" s="930"/>
    </row>
    <row r="525" spans="1:19" s="247" customFormat="1" ht="15" customHeight="1">
      <c r="A525" s="383"/>
      <c r="B525" s="292"/>
      <c r="C525" s="293"/>
      <c r="D525" s="293"/>
      <c r="E525" s="293"/>
      <c r="F525" s="293"/>
      <c r="G525" s="293"/>
      <c r="H525" s="294"/>
      <c r="I525" s="295">
        <v>600.10050000000001</v>
      </c>
      <c r="J525" s="296" t="s">
        <v>475</v>
      </c>
      <c r="K525" s="297"/>
      <c r="L525" s="782"/>
      <c r="M525" s="933">
        <f>3897256-22200</f>
        <v>3875056</v>
      </c>
      <c r="N525" s="832"/>
      <c r="O525" s="930"/>
      <c r="P525" s="930"/>
    </row>
    <row r="526" spans="1:19" s="247" customFormat="1" ht="15" customHeight="1">
      <c r="A526" s="396"/>
      <c r="B526" s="292"/>
      <c r="C526" s="293"/>
      <c r="D526" s="293"/>
      <c r="E526" s="293"/>
      <c r="F526" s="293"/>
      <c r="G526" s="293"/>
      <c r="H526" s="294"/>
      <c r="I526" s="295"/>
      <c r="J526" s="697" t="s">
        <v>326</v>
      </c>
      <c r="K526" s="297"/>
      <c r="L526" s="766"/>
      <c r="M526" s="933">
        <v>219673</v>
      </c>
      <c r="N526" s="832"/>
      <c r="O526" s="930"/>
      <c r="P526" s="930"/>
    </row>
    <row r="527" spans="1:19" s="209" customFormat="1" ht="15" customHeight="1">
      <c r="A527" s="396"/>
      <c r="B527" s="299"/>
      <c r="C527" s="293"/>
      <c r="D527" s="293"/>
      <c r="E527" s="293"/>
      <c r="F527" s="293"/>
      <c r="G527" s="293"/>
      <c r="H527" s="294"/>
      <c r="I527" s="295">
        <v>600.20000000000005</v>
      </c>
      <c r="J527" s="697" t="s">
        <v>320</v>
      </c>
      <c r="K527" s="297"/>
      <c r="L527" s="815"/>
      <c r="M527" s="464"/>
      <c r="N527" s="832"/>
      <c r="O527" s="298"/>
      <c r="P527" s="247"/>
      <c r="Q527" s="247"/>
      <c r="R527" s="247"/>
      <c r="S527" s="286"/>
    </row>
    <row r="528" spans="1:19" s="247" customFormat="1" ht="15" customHeight="1">
      <c r="A528" s="396"/>
      <c r="B528" s="299"/>
      <c r="C528" s="293"/>
      <c r="D528" s="293"/>
      <c r="E528" s="293"/>
      <c r="F528" s="293"/>
      <c r="G528" s="293"/>
      <c r="H528" s="294"/>
      <c r="I528" s="295">
        <v>600.21</v>
      </c>
      <c r="J528" s="697" t="s">
        <v>321</v>
      </c>
      <c r="K528" s="297"/>
      <c r="L528" s="464"/>
      <c r="M528" s="464"/>
      <c r="N528" s="749"/>
      <c r="O528" s="298"/>
    </row>
    <row r="529" spans="1:21" s="247" customFormat="1" ht="15" customHeight="1">
      <c r="A529" s="396"/>
      <c r="B529" s="299"/>
      <c r="C529" s="293"/>
      <c r="D529" s="293"/>
      <c r="E529" s="293"/>
      <c r="F529" s="293"/>
      <c r="G529" s="293"/>
      <c r="H529" s="294"/>
      <c r="I529" s="295">
        <v>600.22</v>
      </c>
      <c r="J529" s="697" t="s">
        <v>322</v>
      </c>
      <c r="K529" s="297"/>
      <c r="L529" s="464"/>
      <c r="M529" s="464"/>
      <c r="N529" s="749"/>
      <c r="O529" s="298"/>
    </row>
    <row r="530" spans="1:21" s="247" customFormat="1" ht="15" customHeight="1">
      <c r="A530" s="396"/>
      <c r="B530" s="299"/>
      <c r="C530" s="293"/>
      <c r="D530" s="293"/>
      <c r="E530" s="293"/>
      <c r="F530" s="293"/>
      <c r="G530" s="293"/>
      <c r="H530" s="294"/>
      <c r="I530" s="295">
        <v>600.29</v>
      </c>
      <c r="J530" s="697" t="s">
        <v>323</v>
      </c>
      <c r="K530" s="297"/>
      <c r="L530" s="464"/>
      <c r="M530" s="464"/>
      <c r="N530" s="749"/>
      <c r="O530" s="298"/>
    </row>
    <row r="531" spans="1:21" s="247" customFormat="1" ht="15" customHeight="1">
      <c r="A531" s="396"/>
      <c r="B531" s="299"/>
      <c r="C531" s="293"/>
      <c r="D531" s="293"/>
      <c r="E531" s="293"/>
      <c r="F531" s="293"/>
      <c r="G531" s="293"/>
      <c r="H531" s="294"/>
      <c r="I531" s="295">
        <v>600.29999999999995</v>
      </c>
      <c r="J531" s="697" t="s">
        <v>324</v>
      </c>
      <c r="K531" s="297"/>
      <c r="L531" s="464"/>
      <c r="M531" s="464">
        <v>49000</v>
      </c>
      <c r="N531" s="749"/>
      <c r="O531" s="298"/>
    </row>
    <row r="532" spans="1:21" s="247" customFormat="1" ht="15" customHeight="1">
      <c r="A532" s="396"/>
      <c r="B532" s="299"/>
      <c r="C532" s="293"/>
      <c r="D532" s="293"/>
      <c r="E532" s="293"/>
      <c r="F532" s="293"/>
      <c r="G532" s="293"/>
      <c r="H532" s="294"/>
      <c r="I532" s="295">
        <v>600.30999999999995</v>
      </c>
      <c r="J532" s="697" t="s">
        <v>325</v>
      </c>
      <c r="K532" s="297"/>
      <c r="L532" s="464"/>
      <c r="M532" s="464"/>
      <c r="N532" s="749"/>
      <c r="O532" s="298"/>
    </row>
    <row r="533" spans="1:21" s="247" customFormat="1" ht="15" customHeight="1" thickBot="1">
      <c r="A533" s="396"/>
      <c r="B533" s="299"/>
      <c r="C533" s="293"/>
      <c r="D533" s="293"/>
      <c r="E533" s="293"/>
      <c r="F533" s="293"/>
      <c r="G533" s="293"/>
      <c r="H533" s="294"/>
      <c r="I533" s="295"/>
      <c r="J533" s="697" t="s">
        <v>323</v>
      </c>
      <c r="K533" s="297"/>
      <c r="L533" s="465"/>
      <c r="M533" s="934"/>
      <c r="N533" s="749"/>
      <c r="O533" s="298"/>
    </row>
    <row r="534" spans="1:21" s="247" customFormat="1" ht="15" customHeight="1" thickBot="1">
      <c r="A534" s="396"/>
      <c r="B534" s="300"/>
      <c r="C534" s="301"/>
      <c r="D534" s="301"/>
      <c r="E534" s="301"/>
      <c r="F534" s="301"/>
      <c r="G534" s="301"/>
      <c r="H534" s="302"/>
      <c r="I534" s="303">
        <v>600.9</v>
      </c>
      <c r="J534" s="304" t="s">
        <v>437</v>
      </c>
      <c r="K534" s="305"/>
      <c r="L534" s="810"/>
      <c r="M534" s="931">
        <v>58864</v>
      </c>
      <c r="N534" s="749"/>
      <c r="O534" s="298"/>
    </row>
    <row r="535" spans="1:21" s="247" customFormat="1" ht="15" customHeight="1" thickBot="1">
      <c r="A535" s="396"/>
      <c r="B535" s="280"/>
      <c r="C535" s="281"/>
      <c r="D535" s="281"/>
      <c r="E535" s="281"/>
      <c r="F535" s="281"/>
      <c r="G535" s="281"/>
      <c r="H535" s="693">
        <v>601</v>
      </c>
      <c r="I535" s="283"/>
      <c r="J535" s="284" t="s">
        <v>328</v>
      </c>
      <c r="K535" s="820">
        <v>6660</v>
      </c>
      <c r="L535" s="285">
        <f>SUM(L536:L537)</f>
        <v>3330</v>
      </c>
      <c r="M535" s="719">
        <f>SUM(M536+M537)</f>
        <v>3134598</v>
      </c>
      <c r="N535" s="749"/>
      <c r="O535" s="298"/>
      <c r="S535" s="209"/>
      <c r="T535" s="209"/>
      <c r="U535" s="209"/>
    </row>
    <row r="536" spans="1:21" s="247" customFormat="1" ht="15" customHeight="1">
      <c r="A536" s="396"/>
      <c r="B536" s="306"/>
      <c r="C536" s="307"/>
      <c r="D536" s="307"/>
      <c r="E536" s="307"/>
      <c r="F536" s="307"/>
      <c r="G536" s="307"/>
      <c r="H536" s="308"/>
      <c r="I536" s="309">
        <v>601.01</v>
      </c>
      <c r="J536" s="696" t="s">
        <v>329</v>
      </c>
      <c r="K536" s="821">
        <v>6660</v>
      </c>
      <c r="L536" s="817">
        <v>3330</v>
      </c>
      <c r="M536" s="819">
        <v>2815507</v>
      </c>
      <c r="N536" s="749"/>
    </row>
    <row r="537" spans="1:21" s="247" customFormat="1" ht="15" customHeight="1" thickBot="1">
      <c r="A537" s="396"/>
      <c r="B537" s="300"/>
      <c r="C537" s="301"/>
      <c r="D537" s="301"/>
      <c r="E537" s="301"/>
      <c r="F537" s="301"/>
      <c r="G537" s="301"/>
      <c r="H537" s="302"/>
      <c r="I537" s="311">
        <v>601.11</v>
      </c>
      <c r="J537" s="698" t="s">
        <v>330</v>
      </c>
      <c r="K537" s="312"/>
      <c r="L537" s="467"/>
      <c r="M537" s="819">
        <v>319091</v>
      </c>
      <c r="N537" s="749"/>
      <c r="O537" s="298"/>
    </row>
    <row r="538" spans="1:21" s="247" customFormat="1" ht="16.5" customHeight="1" thickBot="1">
      <c r="A538" s="396"/>
      <c r="B538" s="313"/>
      <c r="C538" s="314"/>
      <c r="D538" s="314"/>
      <c r="E538" s="314"/>
      <c r="F538" s="314"/>
      <c r="G538" s="314"/>
      <c r="H538" s="693">
        <v>602</v>
      </c>
      <c r="I538" s="316"/>
      <c r="J538" s="284" t="s">
        <v>170</v>
      </c>
      <c r="K538" s="285">
        <f>SUM(K539+K546+K559+K574+K579+K582+K591+K597+K604+K607)</f>
        <v>20000</v>
      </c>
      <c r="L538" s="285">
        <f>SUM(L539+L546+L559+L574+L579+L582+L591+L597+L604+L607)</f>
        <v>15000</v>
      </c>
      <c r="M538" s="285">
        <f>SUM(M539+M546+M559+M574+M579+M582+M591+M597+M604+M607)</f>
        <v>14782958</v>
      </c>
      <c r="N538" s="749"/>
      <c r="O538" s="298"/>
      <c r="S538" s="319"/>
      <c r="T538" s="319"/>
      <c r="U538" s="319"/>
    </row>
    <row r="539" spans="1:21" s="247" customFormat="1" ht="15" customHeight="1" thickBot="1">
      <c r="A539" s="396"/>
      <c r="B539" s="320"/>
      <c r="C539" s="321"/>
      <c r="D539" s="321"/>
      <c r="E539" s="321"/>
      <c r="F539" s="321"/>
      <c r="G539" s="321"/>
      <c r="H539" s="322"/>
      <c r="I539" s="323">
        <v>6020</v>
      </c>
      <c r="J539" s="324" t="s">
        <v>331</v>
      </c>
      <c r="K539" s="822">
        <v>20000</v>
      </c>
      <c r="L539" s="822">
        <v>15000</v>
      </c>
      <c r="M539" s="476">
        <f>SUM(M540+M541+M542+M543+M544+M545)</f>
        <v>1442720</v>
      </c>
      <c r="N539" s="749"/>
      <c r="O539" s="682"/>
      <c r="P539" s="298"/>
      <c r="S539" s="149"/>
      <c r="T539" s="149"/>
      <c r="U539" s="149"/>
    </row>
    <row r="540" spans="1:21" s="247" customFormat="1" ht="15" customHeight="1">
      <c r="A540" s="383"/>
      <c r="B540" s="332"/>
      <c r="C540" s="333"/>
      <c r="D540" s="333"/>
      <c r="E540" s="333"/>
      <c r="F540" s="333"/>
      <c r="G540" s="333"/>
      <c r="H540" s="334"/>
      <c r="I540" s="335" t="s">
        <v>11</v>
      </c>
      <c r="J540" s="336" t="s">
        <v>172</v>
      </c>
      <c r="K540" s="337"/>
      <c r="L540" s="469"/>
      <c r="M540" s="469">
        <v>383600</v>
      </c>
      <c r="N540" s="836"/>
      <c r="O540" s="512"/>
      <c r="P540" s="512"/>
      <c r="Q540" s="513"/>
      <c r="R540" s="513"/>
      <c r="S540" s="512"/>
      <c r="T540" s="512"/>
      <c r="U540" s="149"/>
    </row>
    <row r="541" spans="1:21" s="247" customFormat="1" ht="15" customHeight="1">
      <c r="A541" s="396"/>
      <c r="B541" s="352"/>
      <c r="C541" s="353"/>
      <c r="D541" s="353"/>
      <c r="E541" s="353"/>
      <c r="F541" s="353"/>
      <c r="G541" s="353"/>
      <c r="H541" s="354"/>
      <c r="I541" s="360">
        <v>602.02</v>
      </c>
      <c r="J541" s="361" t="s">
        <v>332</v>
      </c>
      <c r="K541" s="357"/>
      <c r="L541" s="473"/>
      <c r="M541" s="473">
        <v>169440</v>
      </c>
      <c r="N541" s="836"/>
      <c r="O541" s="149"/>
      <c r="S541" s="149"/>
      <c r="T541" s="149"/>
      <c r="U541" s="149"/>
    </row>
    <row r="542" spans="1:21" s="209" customFormat="1" ht="15" customHeight="1">
      <c r="A542" s="396"/>
      <c r="B542" s="339"/>
      <c r="C542" s="340"/>
      <c r="D542" s="340"/>
      <c r="E542" s="340"/>
      <c r="F542" s="340"/>
      <c r="G542" s="340"/>
      <c r="H542" s="150"/>
      <c r="I542" s="341">
        <v>602.03</v>
      </c>
      <c r="J542" s="342" t="s">
        <v>467</v>
      </c>
      <c r="K542" s="343"/>
      <c r="L542" s="470"/>
      <c r="M542" s="470">
        <f>357000</f>
        <v>357000</v>
      </c>
      <c r="N542" s="834"/>
      <c r="O542" s="149"/>
      <c r="P542" s="247"/>
      <c r="Q542" s="247"/>
      <c r="R542" s="247"/>
      <c r="S542" s="149"/>
      <c r="T542" s="149"/>
      <c r="U542" s="149"/>
    </row>
    <row r="543" spans="1:21" s="247" customFormat="1" ht="15" customHeight="1">
      <c r="A543" s="397"/>
      <c r="B543" s="339"/>
      <c r="C543" s="340"/>
      <c r="D543" s="340"/>
      <c r="E543" s="340"/>
      <c r="F543" s="340"/>
      <c r="G543" s="340"/>
      <c r="H543" s="150"/>
      <c r="I543" s="341">
        <v>602.04</v>
      </c>
      <c r="J543" s="342" t="s">
        <v>334</v>
      </c>
      <c r="K543" s="343"/>
      <c r="L543" s="470"/>
      <c r="M543" s="470"/>
      <c r="N543" s="749"/>
      <c r="O543" s="149"/>
      <c r="S543" s="149"/>
      <c r="T543" s="149"/>
      <c r="U543" s="149"/>
    </row>
    <row r="544" spans="1:21" s="247" customFormat="1" ht="15" customHeight="1">
      <c r="A544" s="163"/>
      <c r="B544" s="339"/>
      <c r="C544" s="340"/>
      <c r="D544" s="340"/>
      <c r="E544" s="340"/>
      <c r="F544" s="340"/>
      <c r="G544" s="340"/>
      <c r="H544" s="150"/>
      <c r="I544" s="341">
        <v>602.04999999999995</v>
      </c>
      <c r="J544" s="342" t="s">
        <v>476</v>
      </c>
      <c r="K544" s="343"/>
      <c r="L544" s="470"/>
      <c r="M544" s="470">
        <v>354600</v>
      </c>
      <c r="N544" s="749"/>
      <c r="O544" s="149"/>
      <c r="S544" s="149"/>
      <c r="T544" s="149"/>
      <c r="U544" s="149"/>
    </row>
    <row r="545" spans="1:21" s="319" customFormat="1" ht="15" customHeight="1" thickBot="1">
      <c r="A545" s="163"/>
      <c r="B545" s="345"/>
      <c r="C545" s="346"/>
      <c r="D545" s="346"/>
      <c r="E545" s="346"/>
      <c r="F545" s="346"/>
      <c r="G545" s="346"/>
      <c r="H545" s="164"/>
      <c r="I545" s="347">
        <v>602.09</v>
      </c>
      <c r="J545" s="348" t="s">
        <v>498</v>
      </c>
      <c r="K545" s="349"/>
      <c r="L545" s="471"/>
      <c r="M545" s="471">
        <v>178080</v>
      </c>
      <c r="N545" s="837"/>
      <c r="O545" s="149"/>
      <c r="P545" s="247"/>
      <c r="Q545" s="247"/>
      <c r="R545" s="247"/>
      <c r="S545" s="149"/>
      <c r="T545" s="149"/>
      <c r="U545" s="149"/>
    </row>
    <row r="546" spans="1:21" ht="15" customHeight="1" thickBot="1">
      <c r="A546" s="163"/>
      <c r="B546" s="320"/>
      <c r="C546" s="321"/>
      <c r="D546" s="321"/>
      <c r="E546" s="321"/>
      <c r="F546" s="321"/>
      <c r="G546" s="321"/>
      <c r="H546" s="322"/>
      <c r="I546" s="323">
        <v>602.1</v>
      </c>
      <c r="J546" s="324" t="s">
        <v>336</v>
      </c>
      <c r="K546" s="351">
        <f>SUM(K547+K548+K549+K550+K551+K552+K553+K554+K555+K556+K557+K558)</f>
        <v>0</v>
      </c>
      <c r="L546" s="472">
        <f>SUM(L547+L548+L549+L550+L551+L552+L553+L554+L555+L556+L557+L558)</f>
        <v>0</v>
      </c>
      <c r="M546" s="472">
        <f>SUM(M547+M548+M549+M550+M551+M552+M553+M554+M555+M556+M557+M558)</f>
        <v>1336146</v>
      </c>
      <c r="N546" s="838"/>
      <c r="P546" s="247"/>
      <c r="Q546" s="247"/>
      <c r="R546" s="247"/>
    </row>
    <row r="547" spans="1:21" ht="15" customHeight="1">
      <c r="A547" s="163"/>
      <c r="B547" s="352"/>
      <c r="C547" s="353"/>
      <c r="D547" s="353"/>
      <c r="E547" s="353"/>
      <c r="F547" s="353"/>
      <c r="G547" s="353"/>
      <c r="H547" s="354"/>
      <c r="I547" s="355">
        <v>602.1001</v>
      </c>
      <c r="J547" s="699" t="s">
        <v>337</v>
      </c>
      <c r="K547" s="357"/>
      <c r="L547" s="473"/>
      <c r="M547" s="473"/>
      <c r="N547" s="800"/>
      <c r="P547" s="247"/>
      <c r="Q547" s="247"/>
      <c r="R547" s="247"/>
    </row>
    <row r="548" spans="1:21" ht="15" customHeight="1">
      <c r="A548" s="163"/>
      <c r="B548" s="339"/>
      <c r="C548" s="340"/>
      <c r="D548" s="340"/>
      <c r="E548" s="340"/>
      <c r="F548" s="340"/>
      <c r="G548" s="340"/>
      <c r="H548" s="150"/>
      <c r="I548" s="358">
        <v>602.10019999999997</v>
      </c>
      <c r="J548" s="700" t="s">
        <v>338</v>
      </c>
      <c r="K548" s="343"/>
      <c r="L548" s="470"/>
      <c r="M548" s="470"/>
      <c r="N548" s="800"/>
      <c r="P548" s="247"/>
      <c r="Q548" s="247"/>
      <c r="R548" s="247"/>
    </row>
    <row r="549" spans="1:21" ht="15" customHeight="1">
      <c r="A549" s="163"/>
      <c r="B549" s="339"/>
      <c r="C549" s="340"/>
      <c r="D549" s="340"/>
      <c r="E549" s="340"/>
      <c r="F549" s="340"/>
      <c r="G549" s="340"/>
      <c r="H549" s="150"/>
      <c r="I549" s="358">
        <v>602.10029999999995</v>
      </c>
      <c r="J549" s="700" t="s">
        <v>339</v>
      </c>
      <c r="K549" s="343"/>
      <c r="L549" s="470"/>
      <c r="M549" s="470"/>
      <c r="N549" s="800"/>
      <c r="P549" s="247"/>
      <c r="Q549" s="247"/>
      <c r="R549" s="247"/>
    </row>
    <row r="550" spans="1:21" ht="15" customHeight="1">
      <c r="A550" s="163"/>
      <c r="B550" s="339"/>
      <c r="C550" s="340"/>
      <c r="D550" s="340"/>
      <c r="E550" s="340"/>
      <c r="F550" s="340"/>
      <c r="G550" s="340"/>
      <c r="H550" s="150"/>
      <c r="I550" s="358">
        <v>602.10040000000004</v>
      </c>
      <c r="J550" s="700" t="s">
        <v>340</v>
      </c>
      <c r="K550" s="343"/>
      <c r="L550" s="470"/>
      <c r="M550" s="470"/>
      <c r="N550" s="800"/>
      <c r="P550" s="247"/>
      <c r="Q550" s="247"/>
      <c r="R550" s="247"/>
    </row>
    <row r="551" spans="1:21" ht="15" customHeight="1">
      <c r="A551" s="163"/>
      <c r="B551" s="339"/>
      <c r="C551" s="340"/>
      <c r="D551" s="340"/>
      <c r="E551" s="340"/>
      <c r="F551" s="340"/>
      <c r="G551" s="340"/>
      <c r="H551" s="150"/>
      <c r="I551" s="358">
        <v>602.10050000000001</v>
      </c>
      <c r="J551" s="700" t="s">
        <v>341</v>
      </c>
      <c r="K551" s="343"/>
      <c r="L551" s="470"/>
      <c r="M551" s="470"/>
      <c r="N551" s="800"/>
      <c r="P551" s="298"/>
      <c r="Q551" s="247"/>
      <c r="R551" s="247"/>
    </row>
    <row r="552" spans="1:21" ht="15" customHeight="1">
      <c r="A552" s="163"/>
      <c r="B552" s="339"/>
      <c r="C552" s="340"/>
      <c r="D552" s="340"/>
      <c r="E552" s="340"/>
      <c r="F552" s="340"/>
      <c r="G552" s="340"/>
      <c r="H552" s="150"/>
      <c r="I552" s="358">
        <v>602.10059999999999</v>
      </c>
      <c r="J552" s="700" t="s">
        <v>342</v>
      </c>
      <c r="K552" s="343"/>
      <c r="L552" s="470"/>
      <c r="M552" s="470"/>
      <c r="N552" s="800"/>
      <c r="P552" s="247"/>
      <c r="Q552" s="247"/>
      <c r="R552" s="247"/>
    </row>
    <row r="553" spans="1:21" ht="15" customHeight="1">
      <c r="A553" s="163"/>
      <c r="B553" s="339"/>
      <c r="C553" s="340"/>
      <c r="D553" s="340"/>
      <c r="E553" s="340"/>
      <c r="F553" s="340"/>
      <c r="G553" s="340"/>
      <c r="H553" s="150"/>
      <c r="I553" s="358">
        <v>602.10069999999996</v>
      </c>
      <c r="J553" s="700" t="s">
        <v>469</v>
      </c>
      <c r="K553" s="343"/>
      <c r="L553" s="470"/>
      <c r="M553" s="470">
        <v>395000</v>
      </c>
      <c r="N553" s="801"/>
      <c r="O553" s="804"/>
      <c r="P553" s="247"/>
      <c r="Q553" s="247"/>
      <c r="R553" s="247"/>
    </row>
    <row r="554" spans="1:21" ht="15" customHeight="1">
      <c r="A554" s="163"/>
      <c r="B554" s="339"/>
      <c r="C554" s="340"/>
      <c r="D554" s="340"/>
      <c r="E554" s="340"/>
      <c r="F554" s="340"/>
      <c r="G554" s="340"/>
      <c r="H554" s="150"/>
      <c r="I554" s="358">
        <v>602.10080000000005</v>
      </c>
      <c r="J554" s="700" t="s">
        <v>343</v>
      </c>
      <c r="K554" s="343"/>
      <c r="L554" s="470"/>
      <c r="M554" s="470"/>
      <c r="N554" s="800"/>
      <c r="O554" s="840"/>
      <c r="P554" s="247"/>
      <c r="Q554" s="247"/>
      <c r="R554" s="247"/>
    </row>
    <row r="555" spans="1:21" ht="15" customHeight="1">
      <c r="A555" s="163"/>
      <c r="B555" s="339"/>
      <c r="C555" s="340"/>
      <c r="D555" s="340"/>
      <c r="E555" s="340"/>
      <c r="F555" s="340"/>
      <c r="G555" s="340"/>
      <c r="H555" s="150"/>
      <c r="I555" s="358">
        <v>602.10090000000002</v>
      </c>
      <c r="J555" s="700" t="s">
        <v>344</v>
      </c>
      <c r="K555" s="344"/>
      <c r="L555" s="474"/>
      <c r="M555" s="474"/>
      <c r="N555" s="800"/>
      <c r="O555" s="841"/>
      <c r="P555" s="247"/>
      <c r="Q555" s="247"/>
      <c r="R555" s="247"/>
    </row>
    <row r="556" spans="1:21" ht="15" customHeight="1">
      <c r="A556" s="163"/>
      <c r="B556" s="339"/>
      <c r="C556" s="340"/>
      <c r="D556" s="340"/>
      <c r="E556" s="340"/>
      <c r="F556" s="340"/>
      <c r="G556" s="340"/>
      <c r="H556" s="150"/>
      <c r="I556" s="358">
        <v>602.101</v>
      </c>
      <c r="J556" s="700" t="s">
        <v>345</v>
      </c>
      <c r="K556" s="344"/>
      <c r="L556" s="474"/>
      <c r="M556" s="474"/>
      <c r="N556" s="800"/>
      <c r="O556" s="842"/>
      <c r="Q556" s="247"/>
      <c r="R556" s="247"/>
    </row>
    <row r="557" spans="1:21" ht="15" customHeight="1">
      <c r="A557" s="163"/>
      <c r="B557" s="339"/>
      <c r="C557" s="340"/>
      <c r="D557" s="340"/>
      <c r="E557" s="340"/>
      <c r="F557" s="340"/>
      <c r="G557" s="340"/>
      <c r="H557" s="150"/>
      <c r="I557" s="341">
        <v>602.10109999999997</v>
      </c>
      <c r="J557" s="700" t="s">
        <v>490</v>
      </c>
      <c r="K557" s="344"/>
      <c r="L557" s="474"/>
      <c r="M557" s="474">
        <v>244776</v>
      </c>
      <c r="N557" s="800"/>
      <c r="O557" s="802"/>
      <c r="Q557" s="247"/>
      <c r="R557" s="247"/>
    </row>
    <row r="558" spans="1:21" ht="15" customHeight="1" thickBot="1">
      <c r="A558" s="163"/>
      <c r="B558" s="367"/>
      <c r="C558" s="368"/>
      <c r="D558" s="368"/>
      <c r="E558" s="368"/>
      <c r="F558" s="368"/>
      <c r="G558" s="368"/>
      <c r="H558" s="369"/>
      <c r="I558" s="370">
        <v>602.10990000000004</v>
      </c>
      <c r="J558" s="701" t="s">
        <v>468</v>
      </c>
      <c r="K558" s="378"/>
      <c r="L558" s="475"/>
      <c r="M558" s="475">
        <f>805720-395000+43850+241800</f>
        <v>696370</v>
      </c>
      <c r="N558" s="800"/>
      <c r="O558" s="682"/>
      <c r="Q558" s="247"/>
      <c r="R558" s="247"/>
    </row>
    <row r="559" spans="1:21" ht="15" customHeight="1" thickBot="1">
      <c r="A559" s="163"/>
      <c r="B559" s="320"/>
      <c r="C559" s="321"/>
      <c r="D559" s="321"/>
      <c r="E559" s="321"/>
      <c r="F559" s="321"/>
      <c r="G559" s="321"/>
      <c r="H559" s="322"/>
      <c r="I559" s="323">
        <v>602.20000000000005</v>
      </c>
      <c r="J559" s="324" t="s">
        <v>348</v>
      </c>
      <c r="K559" s="351">
        <f>SUM(K560+K561+K562+K563+K564+K565+K566+K567+K568+K569+K570+K571+K572+K573)</f>
        <v>0</v>
      </c>
      <c r="L559" s="722">
        <f>SUM(L560+L561+L562+L565+L566+L567+L568+L569+L570+L571+L572+L573)</f>
        <v>0</v>
      </c>
      <c r="M559" s="722">
        <f>SUM(M560+M561+M562+M565+M566+M567+M568+M569+M570+M571+M572+M573)</f>
        <v>2299828</v>
      </c>
      <c r="N559" s="800"/>
      <c r="Q559" s="247"/>
      <c r="R559" s="247"/>
    </row>
    <row r="560" spans="1:21" ht="15" customHeight="1">
      <c r="A560" s="163"/>
      <c r="B560" s="352"/>
      <c r="C560" s="353"/>
      <c r="D560" s="353"/>
      <c r="E560" s="353"/>
      <c r="F560" s="353"/>
      <c r="G560" s="353"/>
      <c r="H560" s="354"/>
      <c r="I560" s="360">
        <v>602.20010000000002</v>
      </c>
      <c r="J560" s="361" t="s">
        <v>192</v>
      </c>
      <c r="K560" s="362"/>
      <c r="L560" s="755"/>
      <c r="M560" s="755">
        <v>780169</v>
      </c>
      <c r="N560" s="800"/>
      <c r="Q560" s="247"/>
      <c r="R560" s="247"/>
    </row>
    <row r="561" spans="1:20" ht="15" customHeight="1">
      <c r="A561" s="163"/>
      <c r="B561" s="339"/>
      <c r="C561" s="340"/>
      <c r="D561" s="340"/>
      <c r="E561" s="340"/>
      <c r="F561" s="340"/>
      <c r="G561" s="340"/>
      <c r="H561" s="150"/>
      <c r="I561" s="341">
        <v>602.2002</v>
      </c>
      <c r="J561" s="342" t="s">
        <v>349</v>
      </c>
      <c r="K561" s="344"/>
      <c r="L561" s="474">
        <v>0</v>
      </c>
      <c r="M561" s="474">
        <v>0</v>
      </c>
      <c r="N561" s="800"/>
      <c r="Q561" s="247"/>
      <c r="R561" s="247"/>
    </row>
    <row r="562" spans="1:20" ht="15" customHeight="1">
      <c r="A562" s="163"/>
      <c r="B562" s="339"/>
      <c r="C562" s="340"/>
      <c r="D562" s="340"/>
      <c r="E562" s="340"/>
      <c r="F562" s="340"/>
      <c r="G562" s="340"/>
      <c r="H562" s="150"/>
      <c r="I562" s="341">
        <v>602.20029999999997</v>
      </c>
      <c r="J562" s="342" t="s">
        <v>350</v>
      </c>
      <c r="K562" s="344"/>
      <c r="L562" s="478">
        <f>L563+L564</f>
        <v>0</v>
      </c>
      <c r="M562" s="478">
        <f>M563+M564</f>
        <v>500412</v>
      </c>
      <c r="N562" s="802"/>
      <c r="Q562" s="247"/>
      <c r="R562" s="247"/>
    </row>
    <row r="563" spans="1:20" ht="15" customHeight="1">
      <c r="A563" s="163"/>
      <c r="B563" s="339"/>
      <c r="C563" s="340"/>
      <c r="D563" s="340"/>
      <c r="E563" s="340"/>
      <c r="F563" s="340"/>
      <c r="G563" s="340"/>
      <c r="H563" s="150"/>
      <c r="I563" s="341"/>
      <c r="J563" s="906" t="s">
        <v>473</v>
      </c>
      <c r="K563" s="344"/>
      <c r="L563" s="764"/>
      <c r="M563" s="908">
        <f>306412+44000</f>
        <v>350412</v>
      </c>
      <c r="N563" s="802"/>
      <c r="Q563" s="247"/>
      <c r="R563" s="247"/>
    </row>
    <row r="564" spans="1:20" ht="15" customHeight="1">
      <c r="A564" s="163"/>
      <c r="B564" s="339"/>
      <c r="C564" s="340"/>
      <c r="D564" s="340"/>
      <c r="E564" s="340"/>
      <c r="F564" s="340"/>
      <c r="G564" s="340"/>
      <c r="H564" s="150"/>
      <c r="I564" s="341"/>
      <c r="J564" s="907" t="s">
        <v>474</v>
      </c>
      <c r="K564" s="344"/>
      <c r="L564" s="765"/>
      <c r="M564" s="909">
        <v>150000</v>
      </c>
      <c r="N564" s="802"/>
      <c r="Q564" s="247"/>
      <c r="R564" s="247"/>
    </row>
    <row r="565" spans="1:20" ht="15" customHeight="1">
      <c r="A565" s="163"/>
      <c r="B565" s="339"/>
      <c r="C565" s="340"/>
      <c r="D565" s="340"/>
      <c r="E565" s="340"/>
      <c r="F565" s="340"/>
      <c r="G565" s="340"/>
      <c r="H565" s="150"/>
      <c r="I565" s="341">
        <v>602.20039999999995</v>
      </c>
      <c r="J565" s="342" t="s">
        <v>351</v>
      </c>
      <c r="K565" s="344"/>
      <c r="L565" s="754"/>
      <c r="M565" s="754">
        <f>174654+27858</f>
        <v>202512</v>
      </c>
      <c r="N565" s="802"/>
      <c r="Q565" s="247"/>
      <c r="R565" s="247"/>
    </row>
    <row r="566" spans="1:20" ht="15" customHeight="1">
      <c r="A566" s="163"/>
      <c r="B566" s="339"/>
      <c r="C566" s="340"/>
      <c r="D566" s="340"/>
      <c r="E566" s="340"/>
      <c r="F566" s="340"/>
      <c r="G566" s="340"/>
      <c r="H566" s="150"/>
      <c r="I566" s="341">
        <v>602.20050000000003</v>
      </c>
      <c r="J566" s="342" t="s">
        <v>352</v>
      </c>
      <c r="K566" s="344"/>
      <c r="L566" s="474"/>
      <c r="M566" s="474">
        <v>250720</v>
      </c>
      <c r="N566" s="799"/>
      <c r="Q566" s="247"/>
      <c r="R566" s="247"/>
    </row>
    <row r="567" spans="1:20" ht="15" customHeight="1">
      <c r="A567" s="163"/>
      <c r="B567" s="339"/>
      <c r="C567" s="340"/>
      <c r="D567" s="340"/>
      <c r="E567" s="340"/>
      <c r="F567" s="340"/>
      <c r="G567" s="340"/>
      <c r="H567" s="150"/>
      <c r="I567" s="341">
        <v>602.20060000000001</v>
      </c>
      <c r="J567" s="342" t="s">
        <v>353</v>
      </c>
      <c r="K567" s="344"/>
      <c r="L567" s="474"/>
      <c r="M567" s="474"/>
      <c r="N567" s="803"/>
      <c r="Q567" s="247"/>
      <c r="R567" s="247"/>
    </row>
    <row r="568" spans="1:20" ht="15" customHeight="1">
      <c r="A568" s="163"/>
      <c r="B568" s="339"/>
      <c r="C568" s="340"/>
      <c r="D568" s="340"/>
      <c r="E568" s="340"/>
      <c r="F568" s="340"/>
      <c r="G568" s="340"/>
      <c r="H568" s="150"/>
      <c r="I568" s="341">
        <v>602.20069999999998</v>
      </c>
      <c r="J568" s="342" t="s">
        <v>354</v>
      </c>
      <c r="K568" s="344"/>
      <c r="L568" s="783"/>
      <c r="M568" s="783">
        <v>200</v>
      </c>
      <c r="N568" s="802"/>
      <c r="Q568" s="247"/>
      <c r="R568" s="247"/>
    </row>
    <row r="569" spans="1:20" ht="15" customHeight="1">
      <c r="A569" s="163"/>
      <c r="B569" s="339"/>
      <c r="C569" s="340"/>
      <c r="D569" s="340"/>
      <c r="E569" s="340"/>
      <c r="F569" s="340"/>
      <c r="G569" s="340"/>
      <c r="H569" s="150"/>
      <c r="I569" s="341">
        <v>602.20079999999996</v>
      </c>
      <c r="J569" s="342" t="s">
        <v>355</v>
      </c>
      <c r="K569" s="344"/>
      <c r="L569" s="474"/>
      <c r="M569" s="474">
        <v>288000</v>
      </c>
      <c r="N569" s="804"/>
      <c r="Q569" s="247"/>
      <c r="R569" s="247"/>
    </row>
    <row r="570" spans="1:20" ht="15" customHeight="1">
      <c r="A570" s="163"/>
      <c r="B570" s="339"/>
      <c r="C570" s="340"/>
      <c r="D570" s="340"/>
      <c r="E570" s="340"/>
      <c r="F570" s="340"/>
      <c r="G570" s="340"/>
      <c r="H570" s="150"/>
      <c r="I570" s="341">
        <v>602.20090000000005</v>
      </c>
      <c r="J570" s="342" t="s">
        <v>356</v>
      </c>
      <c r="K570" s="344"/>
      <c r="L570" s="474"/>
      <c r="M570" s="474"/>
      <c r="N570" s="750"/>
      <c r="Q570" s="247"/>
      <c r="R570" s="247"/>
    </row>
    <row r="571" spans="1:20" ht="15" customHeight="1">
      <c r="A571" s="163"/>
      <c r="B571" s="339"/>
      <c r="C571" s="340"/>
      <c r="D571" s="340"/>
      <c r="E571" s="340"/>
      <c r="F571" s="340"/>
      <c r="G571" s="340"/>
      <c r="H571" s="150"/>
      <c r="I571" s="341">
        <v>602.20100000000002</v>
      </c>
      <c r="J571" s="342" t="s">
        <v>357</v>
      </c>
      <c r="K571" s="344"/>
      <c r="L571" s="474"/>
      <c r="M571" s="474">
        <v>33747</v>
      </c>
      <c r="N571" s="751"/>
      <c r="O571" s="682"/>
      <c r="Q571" s="247"/>
      <c r="R571" s="247"/>
    </row>
    <row r="572" spans="1:20" ht="15" customHeight="1">
      <c r="A572" s="163"/>
      <c r="B572" s="339"/>
      <c r="C572" s="340"/>
      <c r="D572" s="340"/>
      <c r="E572" s="340"/>
      <c r="F572" s="340"/>
      <c r="G572" s="340"/>
      <c r="H572" s="150"/>
      <c r="I572" s="341">
        <v>602.20110000000102</v>
      </c>
      <c r="J572" s="342" t="s">
        <v>204</v>
      </c>
      <c r="K572" s="344"/>
      <c r="L572" s="474"/>
      <c r="M572" s="474">
        <v>68400</v>
      </c>
      <c r="N572" s="383"/>
      <c r="Q572" s="247"/>
      <c r="R572" s="247"/>
    </row>
    <row r="573" spans="1:20" ht="15" customHeight="1" thickBot="1">
      <c r="A573" s="163"/>
      <c r="B573" s="345"/>
      <c r="C573" s="346"/>
      <c r="D573" s="346"/>
      <c r="E573" s="346"/>
      <c r="F573" s="346"/>
      <c r="G573" s="346"/>
      <c r="H573" s="164"/>
      <c r="I573" s="347">
        <v>602.20989999999995</v>
      </c>
      <c r="J573" s="348" t="s">
        <v>496</v>
      </c>
      <c r="K573" s="350"/>
      <c r="L573" s="475"/>
      <c r="M573" s="475">
        <v>175668</v>
      </c>
      <c r="N573" s="802"/>
      <c r="O573" s="512"/>
      <c r="P573" s="512"/>
      <c r="Q573" s="513"/>
      <c r="R573" s="513"/>
      <c r="S573" s="512"/>
      <c r="T573" s="512"/>
    </row>
    <row r="574" spans="1:20" ht="15" customHeight="1" thickBot="1">
      <c r="A574" s="163"/>
      <c r="B574" s="320"/>
      <c r="C574" s="321"/>
      <c r="D574" s="321"/>
      <c r="E574" s="321"/>
      <c r="F574" s="321"/>
      <c r="G574" s="321"/>
      <c r="H574" s="322"/>
      <c r="I574" s="323">
        <v>6023</v>
      </c>
      <c r="J574" s="324" t="s">
        <v>206</v>
      </c>
      <c r="K574" s="351">
        <f>SUM(K575+K576+K577+K578)</f>
        <v>0</v>
      </c>
      <c r="L574" s="476">
        <f>SUM(L575+L576+L577+L578)</f>
        <v>0</v>
      </c>
      <c r="M574" s="476">
        <f>SUM(M575:M578)</f>
        <v>2979156</v>
      </c>
      <c r="N574" s="802"/>
      <c r="O574" s="512"/>
      <c r="P574" s="512"/>
      <c r="Q574" s="513"/>
      <c r="R574" s="247"/>
    </row>
    <row r="575" spans="1:20" ht="15" customHeight="1">
      <c r="A575" s="163"/>
      <c r="B575" s="352"/>
      <c r="C575" s="353"/>
      <c r="D575" s="353"/>
      <c r="E575" s="353"/>
      <c r="F575" s="353"/>
      <c r="G575" s="353"/>
      <c r="H575" s="354"/>
      <c r="I575" s="360">
        <v>602.30999999999995</v>
      </c>
      <c r="J575" s="361" t="s">
        <v>207</v>
      </c>
      <c r="K575" s="362"/>
      <c r="L575" s="477"/>
      <c r="M575" s="477">
        <v>2655636</v>
      </c>
      <c r="N575" s="802"/>
      <c r="O575" s="512"/>
      <c r="P575" s="512"/>
      <c r="Q575" s="513"/>
      <c r="R575" s="247"/>
    </row>
    <row r="576" spans="1:20" ht="15" customHeight="1">
      <c r="A576" s="163"/>
      <c r="B576" s="339"/>
      <c r="C576" s="340"/>
      <c r="D576" s="340"/>
      <c r="E576" s="340"/>
      <c r="F576" s="340"/>
      <c r="G576" s="340"/>
      <c r="H576" s="150"/>
      <c r="I576" s="341">
        <v>602.32000000000005</v>
      </c>
      <c r="J576" s="342" t="s">
        <v>359</v>
      </c>
      <c r="K576" s="344"/>
      <c r="L576" s="474"/>
      <c r="M576" s="474">
        <v>323520</v>
      </c>
      <c r="N576" s="802"/>
      <c r="O576" s="512"/>
      <c r="P576" s="512"/>
      <c r="Q576" s="513"/>
      <c r="R576" s="247"/>
    </row>
    <row r="577" spans="1:18" ht="15" customHeight="1">
      <c r="A577" s="163"/>
      <c r="B577" s="339"/>
      <c r="C577" s="340"/>
      <c r="D577" s="340"/>
      <c r="E577" s="340"/>
      <c r="F577" s="340"/>
      <c r="G577" s="340"/>
      <c r="H577" s="150"/>
      <c r="I577" s="341">
        <v>602.33000000000004</v>
      </c>
      <c r="J577" s="342" t="s">
        <v>360</v>
      </c>
      <c r="K577" s="344"/>
      <c r="L577" s="474"/>
      <c r="M577" s="474"/>
      <c r="N577" s="802"/>
      <c r="O577" s="512"/>
      <c r="P577" s="512"/>
      <c r="Q577" s="513"/>
      <c r="R577" s="247"/>
    </row>
    <row r="578" spans="1:18" ht="15" customHeight="1" thickBot="1">
      <c r="A578" s="163"/>
      <c r="B578" s="345"/>
      <c r="C578" s="346"/>
      <c r="D578" s="346"/>
      <c r="E578" s="346"/>
      <c r="F578" s="346"/>
      <c r="G578" s="346"/>
      <c r="H578" s="164"/>
      <c r="I578" s="347">
        <v>602.39</v>
      </c>
      <c r="J578" s="348" t="s">
        <v>361</v>
      </c>
      <c r="K578" s="350"/>
      <c r="L578" s="798"/>
      <c r="M578" s="798"/>
      <c r="N578" s="802"/>
      <c r="O578" s="512"/>
      <c r="P578" s="512"/>
      <c r="Q578" s="513"/>
      <c r="R578" s="247"/>
    </row>
    <row r="579" spans="1:18" ht="15" customHeight="1" thickBot="1">
      <c r="A579" s="163"/>
      <c r="B579" s="320"/>
      <c r="C579" s="321"/>
      <c r="D579" s="321"/>
      <c r="E579" s="321"/>
      <c r="F579" s="321"/>
      <c r="G579" s="321"/>
      <c r="H579" s="322"/>
      <c r="I579" s="323">
        <v>602.4</v>
      </c>
      <c r="J579" s="324" t="s">
        <v>362</v>
      </c>
      <c r="K579" s="351">
        <f>SUM(K580+K581)</f>
        <v>0</v>
      </c>
      <c r="L579" s="476">
        <f>SUM(L580+L581)</f>
        <v>0</v>
      </c>
      <c r="M579" s="476">
        <f>SUM(M580:M581)</f>
        <v>3049425</v>
      </c>
      <c r="N579" s="802"/>
      <c r="O579" s="512"/>
      <c r="P579" s="512"/>
      <c r="Q579" s="513"/>
      <c r="R579" s="247"/>
    </row>
    <row r="580" spans="1:18" ht="15" customHeight="1">
      <c r="A580" s="163"/>
      <c r="B580" s="352"/>
      <c r="C580" s="353"/>
      <c r="D580" s="353"/>
      <c r="E580" s="353"/>
      <c r="F580" s="353"/>
      <c r="G580" s="353"/>
      <c r="H580" s="354"/>
      <c r="I580" s="360">
        <v>602.4</v>
      </c>
      <c r="J580" s="361" t="s">
        <v>363</v>
      </c>
      <c r="K580" s="362"/>
      <c r="L580" s="712"/>
      <c r="M580" s="712">
        <v>3049425</v>
      </c>
      <c r="N580" s="802"/>
      <c r="O580" s="512"/>
      <c r="P580" s="512"/>
      <c r="Q580" s="513"/>
      <c r="R580" s="247"/>
    </row>
    <row r="581" spans="1:18" ht="15" customHeight="1" thickBot="1">
      <c r="A581" s="163"/>
      <c r="B581" s="345"/>
      <c r="C581" s="346"/>
      <c r="D581" s="346"/>
      <c r="E581" s="346"/>
      <c r="F581" s="346"/>
      <c r="G581" s="346"/>
      <c r="H581" s="164"/>
      <c r="I581" s="347">
        <v>602.41</v>
      </c>
      <c r="J581" s="348" t="s">
        <v>364</v>
      </c>
      <c r="K581" s="350"/>
      <c r="L581" s="797"/>
      <c r="M581" s="797"/>
      <c r="N581" s="799"/>
      <c r="O581" s="512"/>
      <c r="P581" s="512"/>
      <c r="Q581" s="513"/>
      <c r="R581" s="247"/>
    </row>
    <row r="582" spans="1:18" ht="15" customHeight="1" thickBot="1">
      <c r="A582" s="163"/>
      <c r="B582" s="320"/>
      <c r="C582" s="321"/>
      <c r="D582" s="321"/>
      <c r="E582" s="321"/>
      <c r="F582" s="321"/>
      <c r="G582" s="321"/>
      <c r="H582" s="322"/>
      <c r="I582" s="323">
        <v>602.5</v>
      </c>
      <c r="J582" s="324" t="s">
        <v>365</v>
      </c>
      <c r="K582" s="351">
        <f>SUM(K583+K584+K585+K586+K587+K588+K589+K590)</f>
        <v>0</v>
      </c>
      <c r="L582" s="472">
        <f>SUM(L583+L584+L585+L586+L587+L588+L589+L590)</f>
        <v>0</v>
      </c>
      <c r="M582" s="472">
        <f>SUM(M583:M590)</f>
        <v>729040</v>
      </c>
      <c r="N582" s="804"/>
      <c r="O582" s="512"/>
      <c r="P582" s="512"/>
      <c r="Q582" s="513"/>
      <c r="R582" s="247"/>
    </row>
    <row r="583" spans="1:18" ht="15" customHeight="1">
      <c r="A583" s="163"/>
      <c r="B583" s="352"/>
      <c r="C583" s="353"/>
      <c r="D583" s="353"/>
      <c r="E583" s="353"/>
      <c r="F583" s="353"/>
      <c r="G583" s="353"/>
      <c r="H583" s="354"/>
      <c r="I583" s="360">
        <v>602.5</v>
      </c>
      <c r="J583" s="361" t="s">
        <v>366</v>
      </c>
      <c r="K583" s="364"/>
      <c r="L583" s="481"/>
      <c r="M583" s="481"/>
      <c r="N583" s="802"/>
      <c r="Q583" s="247"/>
      <c r="R583" s="247"/>
    </row>
    <row r="584" spans="1:18" ht="15" customHeight="1">
      <c r="A584" s="163"/>
      <c r="B584" s="339"/>
      <c r="C584" s="340"/>
      <c r="D584" s="340"/>
      <c r="E584" s="340"/>
      <c r="F584" s="340"/>
      <c r="G584" s="340"/>
      <c r="H584" s="150"/>
      <c r="I584" s="341">
        <v>602.51</v>
      </c>
      <c r="J584" s="342" t="s">
        <v>367</v>
      </c>
      <c r="K584" s="365"/>
      <c r="L584" s="482"/>
      <c r="M584" s="482"/>
      <c r="N584" s="802"/>
      <c r="Q584" s="247"/>
      <c r="R584" s="247"/>
    </row>
    <row r="585" spans="1:18" ht="15" customHeight="1">
      <c r="A585" s="163"/>
      <c r="B585" s="339"/>
      <c r="C585" s="340"/>
      <c r="D585" s="340"/>
      <c r="E585" s="340"/>
      <c r="F585" s="340"/>
      <c r="G585" s="340"/>
      <c r="H585" s="150"/>
      <c r="I585" s="341">
        <v>602.52</v>
      </c>
      <c r="J585" s="342" t="s">
        <v>497</v>
      </c>
      <c r="K585" s="365"/>
      <c r="L585" s="482"/>
      <c r="M585" s="482">
        <f>466888+105100-175668</f>
        <v>396320</v>
      </c>
      <c r="N585" s="802"/>
      <c r="Q585" s="247"/>
      <c r="R585" s="247"/>
    </row>
    <row r="586" spans="1:18" ht="15" customHeight="1" thickBot="1">
      <c r="A586" s="163"/>
      <c r="B586" s="367"/>
      <c r="C586" s="368"/>
      <c r="D586" s="368"/>
      <c r="E586" s="368"/>
      <c r="F586" s="368"/>
      <c r="G586" s="368"/>
      <c r="H586" s="369"/>
      <c r="I586" s="370">
        <v>602.53</v>
      </c>
      <c r="J586" s="371" t="s">
        <v>369</v>
      </c>
      <c r="K586" s="372"/>
      <c r="L586" s="483"/>
      <c r="M586" s="483"/>
      <c r="N586" s="799"/>
      <c r="Q586" s="247"/>
      <c r="R586" s="247"/>
    </row>
    <row r="587" spans="1:18" ht="15" customHeight="1">
      <c r="A587" s="163"/>
      <c r="B587" s="332"/>
      <c r="C587" s="333"/>
      <c r="D587" s="333"/>
      <c r="E587" s="333"/>
      <c r="F587" s="333"/>
      <c r="G587" s="333"/>
      <c r="H587" s="334"/>
      <c r="I587" s="335">
        <v>602.54</v>
      </c>
      <c r="J587" s="336" t="s">
        <v>405</v>
      </c>
      <c r="K587" s="373"/>
      <c r="L587" s="469"/>
      <c r="M587" s="469"/>
      <c r="N587" s="140"/>
      <c r="Q587" s="247"/>
      <c r="R587" s="247"/>
    </row>
    <row r="588" spans="1:18" ht="15" customHeight="1">
      <c r="A588" s="163"/>
      <c r="B588" s="339"/>
      <c r="C588" s="340"/>
      <c r="D588" s="340"/>
      <c r="E588" s="340"/>
      <c r="F588" s="340"/>
      <c r="G588" s="340"/>
      <c r="H588" s="150"/>
      <c r="I588" s="341">
        <v>602.54999999999995</v>
      </c>
      <c r="J588" s="342" t="s">
        <v>370</v>
      </c>
      <c r="K588" s="365"/>
      <c r="L588" s="710"/>
      <c r="M588" s="710"/>
      <c r="N588" s="802"/>
      <c r="Q588" s="247"/>
      <c r="R588" s="247"/>
    </row>
    <row r="589" spans="1:18" ht="15" customHeight="1">
      <c r="A589" s="163"/>
      <c r="B589" s="339"/>
      <c r="C589" s="340"/>
      <c r="D589" s="340"/>
      <c r="E589" s="340"/>
      <c r="F589" s="340"/>
      <c r="G589" s="340"/>
      <c r="H589" s="150"/>
      <c r="I589" s="341">
        <v>602.55999999999995</v>
      </c>
      <c r="J589" s="342" t="s">
        <v>371</v>
      </c>
      <c r="K589" s="365"/>
      <c r="L589" s="482"/>
      <c r="M589" s="482"/>
      <c r="N589" s="801"/>
      <c r="Q589" s="247"/>
      <c r="R589" s="247"/>
    </row>
    <row r="590" spans="1:18" ht="15" customHeight="1" thickBot="1">
      <c r="A590" s="163"/>
      <c r="B590" s="345"/>
      <c r="C590" s="346"/>
      <c r="D590" s="346"/>
      <c r="E590" s="346"/>
      <c r="F590" s="346"/>
      <c r="G590" s="346"/>
      <c r="H590" s="164"/>
      <c r="I590" s="347">
        <v>602.58000000000004</v>
      </c>
      <c r="J590" s="348" t="s">
        <v>499</v>
      </c>
      <c r="K590" s="374"/>
      <c r="L590" s="711"/>
      <c r="M590" s="711">
        <f>194950+137770</f>
        <v>332720</v>
      </c>
      <c r="N590" s="801"/>
      <c r="Q590" s="247"/>
      <c r="R590" s="247"/>
    </row>
    <row r="591" spans="1:18" ht="15" customHeight="1" thickBot="1">
      <c r="A591" s="163"/>
      <c r="B591" s="320"/>
      <c r="C591" s="321"/>
      <c r="D591" s="321"/>
      <c r="E591" s="321"/>
      <c r="F591" s="321"/>
      <c r="G591" s="321"/>
      <c r="H591" s="322"/>
      <c r="I591" s="323">
        <v>602.6</v>
      </c>
      <c r="J591" s="324" t="s">
        <v>373</v>
      </c>
      <c r="K591" s="376">
        <f>SUM(K592+K593+K594+K595+K596)</f>
        <v>0</v>
      </c>
      <c r="L591" s="485">
        <f>SUM(L592+L593+L594+L595+L596)</f>
        <v>0</v>
      </c>
      <c r="M591" s="485">
        <f>SUM(M592+M593+M594+M595+M596)</f>
        <v>66000</v>
      </c>
      <c r="N591" s="801"/>
      <c r="Q591" s="247"/>
      <c r="R591" s="247"/>
    </row>
    <row r="592" spans="1:18" ht="15" customHeight="1">
      <c r="A592" s="163"/>
      <c r="B592" s="352"/>
      <c r="C592" s="353"/>
      <c r="D592" s="353"/>
      <c r="E592" s="353"/>
      <c r="F592" s="353"/>
      <c r="G592" s="353"/>
      <c r="H592" s="354"/>
      <c r="I592" s="360">
        <v>602.61</v>
      </c>
      <c r="J592" s="361" t="s">
        <v>374</v>
      </c>
      <c r="K592" s="364"/>
      <c r="L592" s="481"/>
      <c r="M592" s="481">
        <v>30000</v>
      </c>
      <c r="N592" s="801"/>
      <c r="Q592" s="247"/>
      <c r="R592" s="247"/>
    </row>
    <row r="593" spans="1:18" ht="15" customHeight="1">
      <c r="A593" s="163"/>
      <c r="B593" s="339"/>
      <c r="C593" s="340"/>
      <c r="D593" s="340"/>
      <c r="E593" s="340"/>
      <c r="F593" s="340"/>
      <c r="G593" s="340"/>
      <c r="H593" s="150"/>
      <c r="I593" s="341">
        <v>602.62</v>
      </c>
      <c r="J593" s="342" t="s">
        <v>375</v>
      </c>
      <c r="K593" s="365"/>
      <c r="L593" s="482"/>
      <c r="M593" s="482"/>
      <c r="N593" s="801"/>
      <c r="Q593" s="247"/>
      <c r="R593" s="247"/>
    </row>
    <row r="594" spans="1:18" ht="15" customHeight="1">
      <c r="A594" s="163"/>
      <c r="B594" s="339"/>
      <c r="C594" s="340"/>
      <c r="D594" s="340"/>
      <c r="E594" s="340"/>
      <c r="F594" s="340"/>
      <c r="G594" s="340"/>
      <c r="H594" s="150"/>
      <c r="I594" s="341">
        <v>602.63</v>
      </c>
      <c r="J594" s="342" t="s">
        <v>376</v>
      </c>
      <c r="K594" s="365"/>
      <c r="L594" s="482"/>
      <c r="M594" s="482"/>
      <c r="N594" s="801"/>
      <c r="Q594" s="247"/>
      <c r="R594" s="247"/>
    </row>
    <row r="595" spans="1:18" ht="15" customHeight="1">
      <c r="A595" s="163"/>
      <c r="B595" s="339"/>
      <c r="C595" s="340"/>
      <c r="D595" s="340"/>
      <c r="E595" s="340"/>
      <c r="F595" s="340"/>
      <c r="G595" s="340"/>
      <c r="H595" s="150"/>
      <c r="I595" s="341">
        <v>602.64</v>
      </c>
      <c r="J595" s="342" t="s">
        <v>377</v>
      </c>
      <c r="K595" s="365"/>
      <c r="L595" s="482"/>
      <c r="M595" s="482">
        <v>36000</v>
      </c>
      <c r="N595" s="140"/>
      <c r="Q595" s="247"/>
      <c r="R595" s="247"/>
    </row>
    <row r="596" spans="1:18" ht="15" customHeight="1" thickBot="1">
      <c r="A596" s="163"/>
      <c r="B596" s="345"/>
      <c r="C596" s="346"/>
      <c r="D596" s="346"/>
      <c r="E596" s="346"/>
      <c r="F596" s="346"/>
      <c r="G596" s="346"/>
      <c r="H596" s="164"/>
      <c r="I596" s="347">
        <v>602.69000000000005</v>
      </c>
      <c r="J596" s="348" t="s">
        <v>378</v>
      </c>
      <c r="K596" s="374"/>
      <c r="L596" s="486"/>
      <c r="M596" s="486"/>
      <c r="N596" s="801"/>
      <c r="Q596" s="247"/>
      <c r="R596" s="247"/>
    </row>
    <row r="597" spans="1:18" ht="15" customHeight="1" thickBot="1">
      <c r="A597" s="163"/>
      <c r="B597" s="320"/>
      <c r="C597" s="321"/>
      <c r="D597" s="321"/>
      <c r="E597" s="321"/>
      <c r="F597" s="321"/>
      <c r="G597" s="321"/>
      <c r="H597" s="322"/>
      <c r="I597" s="377">
        <v>602.70000000000005</v>
      </c>
      <c r="J597" s="324" t="s">
        <v>379</v>
      </c>
      <c r="K597" s="376">
        <f>SUM(K598+K599+K600+K601+K602+K603)</f>
        <v>0</v>
      </c>
      <c r="L597" s="485">
        <f>SUM(L598+L599+L600+L601+L602+L603)</f>
        <v>0</v>
      </c>
      <c r="M597" s="485">
        <f>SUM(M598:M603)</f>
        <v>2305143</v>
      </c>
      <c r="N597" s="140"/>
    </row>
    <row r="598" spans="1:18" ht="15" customHeight="1">
      <c r="A598" s="163"/>
      <c r="B598" s="352"/>
      <c r="C598" s="353"/>
      <c r="D598" s="353"/>
      <c r="E598" s="353"/>
      <c r="F598" s="353"/>
      <c r="G598" s="353"/>
      <c r="H598" s="354"/>
      <c r="I598" s="360">
        <v>602.71</v>
      </c>
      <c r="J598" s="361" t="s">
        <v>380</v>
      </c>
      <c r="K598" s="364"/>
      <c r="L598" s="481"/>
      <c r="M598" s="481"/>
      <c r="N598" s="804"/>
    </row>
    <row r="599" spans="1:18" ht="15" customHeight="1">
      <c r="A599" s="163"/>
      <c r="B599" s="339"/>
      <c r="C599" s="340"/>
      <c r="D599" s="340"/>
      <c r="E599" s="340"/>
      <c r="F599" s="340"/>
      <c r="G599" s="340"/>
      <c r="H599" s="150"/>
      <c r="I599" s="341">
        <v>602.72</v>
      </c>
      <c r="J599" s="342" t="s">
        <v>381</v>
      </c>
      <c r="K599" s="365"/>
      <c r="L599" s="482"/>
      <c r="M599" s="482"/>
      <c r="N599" s="801"/>
    </row>
    <row r="600" spans="1:18" ht="15" customHeight="1">
      <c r="A600" s="163"/>
      <c r="B600" s="339"/>
      <c r="C600" s="340"/>
      <c r="D600" s="340"/>
      <c r="E600" s="340"/>
      <c r="F600" s="340"/>
      <c r="G600" s="340"/>
      <c r="H600" s="150"/>
      <c r="I600" s="341">
        <v>602.73</v>
      </c>
      <c r="J600" s="342" t="s">
        <v>382</v>
      </c>
      <c r="K600" s="365"/>
      <c r="L600" s="482"/>
      <c r="M600" s="482"/>
      <c r="N600" s="801"/>
    </row>
    <row r="601" spans="1:18" ht="15" customHeight="1">
      <c r="A601" s="163"/>
      <c r="B601" s="339"/>
      <c r="C601" s="340"/>
      <c r="D601" s="340"/>
      <c r="E601" s="340"/>
      <c r="F601" s="340"/>
      <c r="G601" s="340"/>
      <c r="H601" s="150"/>
      <c r="I601" s="341">
        <v>602.74</v>
      </c>
      <c r="J601" s="342" t="s">
        <v>383</v>
      </c>
      <c r="K601" s="365"/>
      <c r="L601" s="781"/>
      <c r="M601" s="781">
        <f>2190343+18000</f>
        <v>2208343</v>
      </c>
      <c r="N601" s="801"/>
    </row>
    <row r="602" spans="1:18" ht="15" customHeight="1">
      <c r="A602" s="163"/>
      <c r="B602" s="339"/>
      <c r="C602" s="340"/>
      <c r="D602" s="340"/>
      <c r="E602" s="340"/>
      <c r="F602" s="340"/>
      <c r="G602" s="340"/>
      <c r="H602" s="150"/>
      <c r="I602" s="341">
        <v>602.75</v>
      </c>
      <c r="J602" s="342" t="s">
        <v>384</v>
      </c>
      <c r="K602" s="365"/>
      <c r="L602" s="482"/>
      <c r="M602" s="482">
        <v>96800</v>
      </c>
      <c r="N602" s="801"/>
    </row>
    <row r="603" spans="1:18" ht="15" customHeight="1" thickBot="1">
      <c r="A603" s="163"/>
      <c r="B603" s="345"/>
      <c r="C603" s="346"/>
      <c r="D603" s="346"/>
      <c r="E603" s="346"/>
      <c r="F603" s="346"/>
      <c r="G603" s="346"/>
      <c r="H603" s="164"/>
      <c r="I603" s="347">
        <v>602.79</v>
      </c>
      <c r="J603" s="348" t="s">
        <v>385</v>
      </c>
      <c r="K603" s="374"/>
      <c r="L603" s="486"/>
      <c r="M603" s="486"/>
      <c r="N603" s="801"/>
    </row>
    <row r="604" spans="1:18" ht="15" customHeight="1" thickBot="1">
      <c r="A604" s="163"/>
      <c r="B604" s="320"/>
      <c r="C604" s="321"/>
      <c r="D604" s="321"/>
      <c r="E604" s="321"/>
      <c r="F604" s="321"/>
      <c r="G604" s="321"/>
      <c r="H604" s="322"/>
      <c r="I604" s="377">
        <v>602.79999999999995</v>
      </c>
      <c r="J604" s="324" t="s">
        <v>386</v>
      </c>
      <c r="K604" s="376">
        <f>SUM(K605+K606)</f>
        <v>0</v>
      </c>
      <c r="L604" s="485">
        <f>SUM(L605+L606)</f>
        <v>0</v>
      </c>
      <c r="M604" s="485">
        <f>SUM(M605+M606)</f>
        <v>0</v>
      </c>
      <c r="N604" s="804"/>
    </row>
    <row r="605" spans="1:18" ht="15" customHeight="1">
      <c r="A605" s="163"/>
      <c r="B605" s="352"/>
      <c r="C605" s="353"/>
      <c r="D605" s="353"/>
      <c r="E605" s="353"/>
      <c r="F605" s="353"/>
      <c r="G605" s="353"/>
      <c r="H605" s="354"/>
      <c r="I605" s="360">
        <v>602.80999999999995</v>
      </c>
      <c r="J605" s="361" t="s">
        <v>387</v>
      </c>
      <c r="K605" s="357"/>
      <c r="L605" s="473"/>
      <c r="M605" s="473"/>
      <c r="N605" s="801"/>
    </row>
    <row r="606" spans="1:18" ht="15" customHeight="1" thickBot="1">
      <c r="A606" s="163"/>
      <c r="B606" s="345"/>
      <c r="C606" s="346"/>
      <c r="D606" s="346"/>
      <c r="E606" s="346"/>
      <c r="F606" s="346"/>
      <c r="G606" s="346"/>
      <c r="H606" s="164"/>
      <c r="I606" s="347">
        <v>602.82000000000005</v>
      </c>
      <c r="J606" s="348" t="s">
        <v>388</v>
      </c>
      <c r="K606" s="349"/>
      <c r="L606" s="471"/>
      <c r="M606" s="471"/>
      <c r="N606" s="801"/>
    </row>
    <row r="607" spans="1:18" ht="15" customHeight="1" thickBot="1">
      <c r="A607" s="163"/>
      <c r="B607" s="320"/>
      <c r="C607" s="321"/>
      <c r="D607" s="321"/>
      <c r="E607" s="321"/>
      <c r="F607" s="321"/>
      <c r="G607" s="321"/>
      <c r="H607" s="322"/>
      <c r="I607" s="323">
        <v>602.9</v>
      </c>
      <c r="J607" s="324" t="s">
        <v>389</v>
      </c>
      <c r="K607" s="376">
        <f>SUM(K608+K609+K610+K611+K612+K613+K614+K615+K616)</f>
        <v>0</v>
      </c>
      <c r="L607" s="485">
        <f>SUM(L608+L609+L610+L611+L612+L613+L614+L615+L616)</f>
        <v>0</v>
      </c>
      <c r="M607" s="485">
        <f>SUM(M608+M609+M610+M611+M612+M613+M614+M615+M616)</f>
        <v>575500</v>
      </c>
      <c r="N607" s="801"/>
    </row>
    <row r="608" spans="1:18" ht="15" customHeight="1">
      <c r="A608" s="163"/>
      <c r="B608" s="332"/>
      <c r="C608" s="333"/>
      <c r="D608" s="333"/>
      <c r="E608" s="333"/>
      <c r="F608" s="333"/>
      <c r="G608" s="333"/>
      <c r="H608" s="334"/>
      <c r="I608" s="335">
        <v>602.90009999999995</v>
      </c>
      <c r="J608" s="336" t="s">
        <v>390</v>
      </c>
      <c r="K608" s="338"/>
      <c r="L608" s="487"/>
      <c r="M608" s="487"/>
      <c r="N608" s="801"/>
    </row>
    <row r="609" spans="1:14" ht="15" customHeight="1">
      <c r="A609" s="163"/>
      <c r="B609" s="339"/>
      <c r="C609" s="340"/>
      <c r="D609" s="340"/>
      <c r="E609" s="340"/>
      <c r="F609" s="340"/>
      <c r="G609" s="340"/>
      <c r="H609" s="150"/>
      <c r="I609" s="341">
        <v>602.90020000000004</v>
      </c>
      <c r="J609" s="342" t="s">
        <v>392</v>
      </c>
      <c r="K609" s="344"/>
      <c r="L609" s="474"/>
      <c r="M609" s="474"/>
      <c r="N609" s="801"/>
    </row>
    <row r="610" spans="1:14" ht="15" customHeight="1">
      <c r="A610" s="163"/>
      <c r="B610" s="339"/>
      <c r="C610" s="340"/>
      <c r="D610" s="340"/>
      <c r="E610" s="340"/>
      <c r="F610" s="340"/>
      <c r="G610" s="340"/>
      <c r="H610" s="150"/>
      <c r="I610" s="341">
        <v>602.90030000000002</v>
      </c>
      <c r="J610" s="342" t="s">
        <v>391</v>
      </c>
      <c r="K610" s="344"/>
      <c r="L610" s="474"/>
      <c r="M610" s="474"/>
      <c r="N610" s="801"/>
    </row>
    <row r="611" spans="1:14" ht="15" customHeight="1">
      <c r="A611" s="163"/>
      <c r="B611" s="339"/>
      <c r="C611" s="340"/>
      <c r="D611" s="340"/>
      <c r="E611" s="340"/>
      <c r="F611" s="340"/>
      <c r="G611" s="340"/>
      <c r="H611" s="150"/>
      <c r="I611" s="341">
        <v>602.90039999999999</v>
      </c>
      <c r="J611" s="342" t="s">
        <v>393</v>
      </c>
      <c r="K611" s="344"/>
      <c r="L611" s="474"/>
      <c r="M611" s="474"/>
      <c r="N611" s="804"/>
    </row>
    <row r="612" spans="1:14" ht="15" customHeight="1">
      <c r="A612" s="163"/>
      <c r="B612" s="339"/>
      <c r="C612" s="340"/>
      <c r="D612" s="340"/>
      <c r="E612" s="340"/>
      <c r="F612" s="340"/>
      <c r="G612" s="340"/>
      <c r="H612" s="150"/>
      <c r="I612" s="341">
        <v>602.90049999999997</v>
      </c>
      <c r="J612" s="342" t="s">
        <v>394</v>
      </c>
      <c r="K612" s="344"/>
      <c r="L612" s="474"/>
      <c r="M612" s="474">
        <f>571300+4200</f>
        <v>575500</v>
      </c>
      <c r="N612" s="800">
        <f>P604</f>
        <v>0</v>
      </c>
    </row>
    <row r="613" spans="1:14" ht="15" customHeight="1">
      <c r="A613" s="163"/>
      <c r="B613" s="339"/>
      <c r="C613" s="340"/>
      <c r="D613" s="340"/>
      <c r="E613" s="340"/>
      <c r="F613" s="340"/>
      <c r="G613" s="340"/>
      <c r="H613" s="150"/>
      <c r="I613" s="341">
        <v>602.90060000000005</v>
      </c>
      <c r="J613" s="342" t="s">
        <v>395</v>
      </c>
      <c r="K613" s="344"/>
      <c r="L613" s="474"/>
      <c r="M613" s="474"/>
      <c r="N613" s="800"/>
    </row>
    <row r="614" spans="1:14" ht="15" customHeight="1">
      <c r="A614" s="163"/>
      <c r="B614" s="339"/>
      <c r="C614" s="340"/>
      <c r="D614" s="340"/>
      <c r="E614" s="340"/>
      <c r="F614" s="340"/>
      <c r="G614" s="340"/>
      <c r="H614" s="150"/>
      <c r="I614" s="341">
        <v>602.90070000000003</v>
      </c>
      <c r="J614" s="342" t="s">
        <v>396</v>
      </c>
      <c r="K614" s="343"/>
      <c r="L614" s="470"/>
      <c r="M614" s="470"/>
      <c r="N614" s="804"/>
    </row>
    <row r="615" spans="1:14" ht="15" customHeight="1">
      <c r="A615" s="163"/>
      <c r="B615" s="339"/>
      <c r="C615" s="340"/>
      <c r="D615" s="340"/>
      <c r="E615" s="340"/>
      <c r="F615" s="340"/>
      <c r="G615" s="340"/>
      <c r="H615" s="150"/>
      <c r="I615" s="341">
        <v>602.90080000000103</v>
      </c>
      <c r="J615" s="342" t="s">
        <v>397</v>
      </c>
      <c r="K615" s="344"/>
      <c r="L615" s="474"/>
      <c r="M615" s="474"/>
      <c r="N615" s="802"/>
    </row>
    <row r="616" spans="1:14" ht="15" customHeight="1" thickBot="1">
      <c r="A616" s="163"/>
      <c r="B616" s="345"/>
      <c r="C616" s="346"/>
      <c r="D616" s="346"/>
      <c r="E616" s="346"/>
      <c r="F616" s="346"/>
      <c r="G616" s="346"/>
      <c r="H616" s="164"/>
      <c r="I616" s="347">
        <v>602.900900000001</v>
      </c>
      <c r="J616" s="348" t="s">
        <v>398</v>
      </c>
      <c r="K616" s="350"/>
      <c r="L616" s="480"/>
      <c r="M616" s="480"/>
      <c r="N616" s="802"/>
    </row>
    <row r="617" spans="1:14" ht="15" customHeight="1" thickBot="1">
      <c r="A617" s="163"/>
      <c r="B617" s="732"/>
      <c r="C617" s="733"/>
      <c r="D617" s="733"/>
      <c r="E617" s="733"/>
      <c r="F617" s="733"/>
      <c r="G617" s="776"/>
      <c r="H617" s="777">
        <v>606</v>
      </c>
      <c r="I617" s="735">
        <v>606.91</v>
      </c>
      <c r="J617" s="736" t="s">
        <v>406</v>
      </c>
      <c r="K617" s="737"/>
      <c r="L617" s="725"/>
      <c r="M617" s="725"/>
      <c r="N617" s="802"/>
    </row>
    <row r="618" spans="1:14" ht="15" customHeight="1" thickBot="1">
      <c r="A618" s="163"/>
      <c r="B618" s="385"/>
      <c r="C618" s="386"/>
      <c r="D618" s="386"/>
      <c r="E618" s="692">
        <v>6</v>
      </c>
      <c r="F618" s="386"/>
      <c r="G618" s="778">
        <v>10430</v>
      </c>
      <c r="H618" s="779">
        <v>231</v>
      </c>
      <c r="I618" s="390"/>
      <c r="J618" s="391" t="s">
        <v>435</v>
      </c>
      <c r="K618" s="388"/>
      <c r="L618" s="388"/>
      <c r="M618" s="388"/>
      <c r="N618" s="802"/>
    </row>
    <row r="619" spans="1:14" ht="15" customHeight="1">
      <c r="A619" s="163"/>
      <c r="B619" s="5"/>
      <c r="C619" s="163"/>
      <c r="D619" s="163"/>
      <c r="E619" s="741"/>
      <c r="F619" s="163"/>
      <c r="G619" s="844"/>
      <c r="H619" s="845"/>
      <c r="I619" s="163"/>
      <c r="J619" s="744"/>
      <c r="K619" s="380"/>
      <c r="L619" s="380"/>
      <c r="M619" s="380"/>
      <c r="N619" s="802"/>
    </row>
    <row r="620" spans="1:14" ht="15.95" customHeight="1">
      <c r="A620" s="163"/>
      <c r="B620" s="224"/>
      <c r="C620" s="703" t="s">
        <v>401</v>
      </c>
      <c r="D620" s="163"/>
      <c r="E620" s="163"/>
      <c r="F620" s="163"/>
      <c r="G620" s="163"/>
      <c r="H620" s="163"/>
      <c r="I620" s="163"/>
      <c r="J620" s="379"/>
      <c r="K620" s="380"/>
      <c r="L620" s="488"/>
      <c r="M620" s="488"/>
      <c r="N620" s="802"/>
    </row>
    <row r="621" spans="1:14" ht="15.95" customHeight="1">
      <c r="A621" s="163"/>
      <c r="B621" s="224"/>
      <c r="C621" s="703" t="s">
        <v>433</v>
      </c>
      <c r="D621" s="163"/>
      <c r="E621" s="163"/>
      <c r="F621" s="163"/>
      <c r="G621" s="163"/>
      <c r="H621" s="163"/>
      <c r="I621" s="163"/>
      <c r="J621" s="379"/>
      <c r="K621" s="382"/>
      <c r="L621" s="490"/>
      <c r="M621" s="490"/>
      <c r="N621" s="802"/>
    </row>
    <row r="622" spans="1:14" ht="15.95" customHeight="1">
      <c r="A622" s="163"/>
      <c r="B622" s="224"/>
      <c r="C622" s="163"/>
      <c r="D622" s="383" t="s">
        <v>402</v>
      </c>
      <c r="E622" s="383"/>
      <c r="F622" s="383"/>
      <c r="G622" s="383"/>
      <c r="H622" s="163"/>
      <c r="J622" s="384" t="s">
        <v>411</v>
      </c>
      <c r="K622" s="488"/>
      <c r="L622" s="488"/>
      <c r="M622" s="488"/>
      <c r="N622" s="800"/>
    </row>
    <row r="623" spans="1:14" ht="15.95" customHeight="1">
      <c r="A623" s="163"/>
      <c r="B623" s="224"/>
      <c r="C623" s="163"/>
      <c r="D623" s="704" t="s">
        <v>439</v>
      </c>
      <c r="E623" s="383"/>
      <c r="F623" s="383"/>
      <c r="G623" s="383"/>
      <c r="H623" s="383"/>
      <c r="I623" s="383"/>
      <c r="J623" s="149"/>
      <c r="K623" s="702" t="s">
        <v>440</v>
      </c>
      <c r="L623" s="489"/>
      <c r="M623" s="489"/>
      <c r="N623" s="802"/>
    </row>
    <row r="624" spans="1:14" ht="15.95" customHeight="1">
      <c r="A624" s="163"/>
      <c r="B624" s="163"/>
      <c r="C624" s="163"/>
      <c r="D624" s="163"/>
      <c r="E624" s="163"/>
      <c r="F624" s="163"/>
      <c r="G624" s="163"/>
      <c r="H624" s="163"/>
      <c r="I624" s="163"/>
      <c r="J624" s="5"/>
      <c r="K624" s="381"/>
      <c r="L624" s="489"/>
      <c r="M624" s="489"/>
      <c r="N624" s="802"/>
    </row>
    <row r="625" spans="1:14" ht="15">
      <c r="A625" s="163"/>
      <c r="B625" s="163"/>
      <c r="C625" s="163"/>
      <c r="D625" s="5"/>
      <c r="E625" s="163"/>
      <c r="F625" s="163"/>
      <c r="G625" s="825"/>
      <c r="H625" s="163"/>
      <c r="I625" s="227"/>
      <c r="J625" s="5"/>
      <c r="K625" s="163"/>
      <c r="L625" s="210"/>
      <c r="M625" s="210"/>
      <c r="N625" s="210"/>
    </row>
    <row r="626" spans="1:14" ht="32.25" customHeight="1">
      <c r="A626" s="163"/>
      <c r="B626" s="163"/>
      <c r="C626" s="210"/>
      <c r="D626" s="210"/>
      <c r="E626" s="210"/>
      <c r="F626" s="210"/>
      <c r="G626" s="210"/>
      <c r="H626" s="211"/>
      <c r="I626" s="211"/>
      <c r="J626" s="211"/>
      <c r="K626" s="211"/>
      <c r="L626" s="212"/>
      <c r="M626" s="212"/>
      <c r="N626" s="488"/>
    </row>
    <row r="627" spans="1:14" ht="12.6" customHeight="1">
      <c r="B627" s="163"/>
      <c r="C627" s="210"/>
      <c r="D627" s="210"/>
      <c r="E627" s="210"/>
      <c r="F627" s="210"/>
      <c r="G627" s="210"/>
      <c r="H627" s="210"/>
      <c r="I627" s="830"/>
      <c r="J627" s="845"/>
      <c r="K627" s="830"/>
      <c r="L627" s="835"/>
      <c r="M627" s="835"/>
      <c r="N627" s="489"/>
    </row>
    <row r="628" spans="1:14" ht="12.6" customHeight="1">
      <c r="B628" s="216"/>
      <c r="C628" s="217"/>
      <c r="D628" s="217"/>
      <c r="E628" s="218"/>
      <c r="F628" s="218"/>
      <c r="G628" s="218"/>
      <c r="H628" s="218"/>
      <c r="I628" s="911"/>
      <c r="J628" s="911"/>
      <c r="K628" s="912"/>
      <c r="L628" s="913"/>
      <c r="M628" s="913"/>
      <c r="N628" s="489"/>
    </row>
    <row r="629" spans="1:14" ht="12.6" customHeight="1">
      <c r="B629" s="221"/>
      <c r="C629" s="218" t="s">
        <v>301</v>
      </c>
      <c r="D629" s="218"/>
      <c r="E629" s="218"/>
      <c r="F629" s="218"/>
      <c r="G629" s="218"/>
      <c r="H629" s="218"/>
      <c r="I629" s="911"/>
      <c r="J629" s="914"/>
      <c r="K629" s="911"/>
      <c r="L629" s="913"/>
      <c r="M629" s="913"/>
      <c r="N629" s="489"/>
    </row>
    <row r="630" spans="1:14" ht="12.6" customHeight="1">
      <c r="B630" s="221"/>
      <c r="C630" s="218" t="s">
        <v>415</v>
      </c>
      <c r="D630" s="218"/>
      <c r="E630" s="218"/>
      <c r="F630" s="223"/>
      <c r="G630" s="218"/>
      <c r="H630" s="218"/>
      <c r="I630" s="911"/>
      <c r="J630" s="911"/>
      <c r="K630" s="913"/>
      <c r="L630" s="914"/>
      <c r="M630" s="913"/>
      <c r="N630" s="683"/>
    </row>
    <row r="631" spans="1:14" ht="12.6" customHeight="1">
      <c r="A631" s="163"/>
      <c r="B631" s="224"/>
      <c r="C631" s="224"/>
      <c r="E631" s="224"/>
      <c r="F631" s="224"/>
      <c r="G631" s="392" t="s">
        <v>416</v>
      </c>
      <c r="H631" s="224"/>
      <c r="I631" s="915"/>
      <c r="J631" s="65"/>
      <c r="K631" s="916"/>
      <c r="L631" s="917"/>
      <c r="M631" s="917"/>
      <c r="N631" s="211"/>
    </row>
    <row r="632" spans="1:14" ht="12.6" customHeight="1">
      <c r="A632" s="394"/>
      <c r="B632" s="5"/>
      <c r="C632" s="383" t="s">
        <v>300</v>
      </c>
      <c r="D632" s="226"/>
      <c r="E632" s="5"/>
      <c r="F632" s="163"/>
      <c r="G632" s="226"/>
      <c r="H632" s="214"/>
      <c r="I632" s="910"/>
      <c r="J632" s="918"/>
      <c r="K632" s="912" t="s">
        <v>501</v>
      </c>
      <c r="L632" s="919"/>
      <c r="M632" s="919"/>
      <c r="N632" s="210"/>
    </row>
    <row r="633" spans="1:14" s="220" customFormat="1" ht="12.6" customHeight="1">
      <c r="A633" s="395"/>
      <c r="B633" s="233"/>
      <c r="C633" s="233"/>
      <c r="D633" s="237"/>
      <c r="E633" s="233"/>
      <c r="F633" s="233"/>
      <c r="G633" s="234"/>
      <c r="H633" s="235"/>
      <c r="I633" s="920"/>
      <c r="J633" s="921" t="s">
        <v>423</v>
      </c>
      <c r="K633" s="238"/>
      <c r="L633" s="456"/>
      <c r="M633" s="456"/>
      <c r="N633" s="452"/>
    </row>
    <row r="634" spans="1:14" s="223" customFormat="1" ht="31.5" customHeight="1" thickBot="1">
      <c r="A634" s="163"/>
      <c r="B634" s="239"/>
      <c r="C634" s="233"/>
      <c r="D634" s="233"/>
      <c r="E634" s="235"/>
      <c r="F634" s="235"/>
      <c r="G634" s="235"/>
      <c r="H634" s="235"/>
      <c r="I634" s="922"/>
      <c r="J634" s="936" t="s">
        <v>500</v>
      </c>
      <c r="K634" s="922"/>
      <c r="L634" s="739"/>
      <c r="M634" s="923"/>
      <c r="N634" s="453"/>
    </row>
    <row r="635" spans="1:14" s="223" customFormat="1" ht="80.25" thickBot="1">
      <c r="A635" s="163"/>
      <c r="B635" s="689" t="s">
        <v>137</v>
      </c>
      <c r="C635" s="690" t="s">
        <v>138</v>
      </c>
      <c r="D635" s="689" t="s">
        <v>139</v>
      </c>
      <c r="E635" s="689" t="s">
        <v>140</v>
      </c>
      <c r="F635" s="689" t="s">
        <v>141</v>
      </c>
      <c r="G635" s="689" t="s">
        <v>142</v>
      </c>
      <c r="H635" s="691" t="s">
        <v>126</v>
      </c>
      <c r="I635" s="689" t="s">
        <v>143</v>
      </c>
      <c r="J635" s="684" t="s">
        <v>304</v>
      </c>
      <c r="K635" s="245" t="s">
        <v>434</v>
      </c>
      <c r="L635" s="937" t="s">
        <v>502</v>
      </c>
      <c r="M635" s="685" t="s">
        <v>305</v>
      </c>
      <c r="N635" s="453"/>
    </row>
    <row r="636" spans="1:14" ht="13.5" customHeight="1" thickBot="1">
      <c r="A636" s="163"/>
      <c r="B636" s="248" t="s">
        <v>148</v>
      </c>
      <c r="C636" s="249">
        <v>25</v>
      </c>
      <c r="D636" s="517" t="s">
        <v>267</v>
      </c>
      <c r="E636" s="250">
        <v>1</v>
      </c>
      <c r="F636" s="250">
        <v>1111</v>
      </c>
      <c r="G636" s="694">
        <v>10430</v>
      </c>
      <c r="H636" s="251"/>
      <c r="I636" s="252"/>
      <c r="J636" s="687" t="s">
        <v>308</v>
      </c>
      <c r="K636" s="254">
        <f>SUM(K637+K638+K639+K640)</f>
        <v>0</v>
      </c>
      <c r="L636" s="459">
        <f>SUM(L637+L638+L639+L640)</f>
        <v>0</v>
      </c>
      <c r="M636" s="459"/>
      <c r="N636" s="210"/>
    </row>
    <row r="637" spans="1:14" ht="15" customHeight="1">
      <c r="A637" s="163"/>
      <c r="B637" s="255"/>
      <c r="C637" s="256"/>
      <c r="D637" s="256"/>
      <c r="E637" s="256">
        <v>1</v>
      </c>
      <c r="F637" s="256"/>
      <c r="G637" s="256"/>
      <c r="H637" s="257"/>
      <c r="I637" s="258"/>
      <c r="J637" s="259" t="s">
        <v>309</v>
      </c>
      <c r="K637" s="260"/>
      <c r="L637" s="460"/>
      <c r="M637" s="460"/>
      <c r="N637" s="826"/>
    </row>
    <row r="638" spans="1:14" ht="15" customHeight="1">
      <c r="A638" s="163"/>
      <c r="B638" s="262"/>
      <c r="C638" s="263"/>
      <c r="D638" s="263"/>
      <c r="E638" s="263">
        <v>5</v>
      </c>
      <c r="F638" s="263"/>
      <c r="G638" s="263"/>
      <c r="H638" s="264"/>
      <c r="I638" s="265"/>
      <c r="J638" s="266" t="s">
        <v>310</v>
      </c>
      <c r="K638" s="267"/>
      <c r="L638" s="461"/>
      <c r="M638" s="461"/>
      <c r="N638" s="826"/>
    </row>
    <row r="639" spans="1:14" ht="13.5" customHeight="1">
      <c r="A639" s="163"/>
      <c r="B639" s="262"/>
      <c r="C639" s="263"/>
      <c r="D639" s="263"/>
      <c r="E639" s="263">
        <v>5</v>
      </c>
      <c r="F639" s="263"/>
      <c r="G639" s="263"/>
      <c r="H639" s="264"/>
      <c r="I639" s="265"/>
      <c r="J639" s="266" t="s">
        <v>311</v>
      </c>
      <c r="K639" s="267"/>
      <c r="L639" s="461"/>
      <c r="M639" s="461"/>
      <c r="N639" s="826"/>
    </row>
    <row r="640" spans="1:14" ht="26.25" customHeight="1" thickBot="1">
      <c r="A640" s="396"/>
      <c r="B640" s="269"/>
      <c r="C640" s="270"/>
      <c r="D640" s="270"/>
      <c r="E640" s="270">
        <v>6</v>
      </c>
      <c r="F640" s="270"/>
      <c r="G640" s="270"/>
      <c r="H640" s="271"/>
      <c r="I640" s="272"/>
      <c r="J640" s="273" t="s">
        <v>312</v>
      </c>
      <c r="K640" s="274"/>
      <c r="L640" s="462"/>
      <c r="M640" s="462"/>
      <c r="N640" s="828"/>
    </row>
    <row r="641" spans="1:19" ht="22.5" customHeight="1" thickBot="1">
      <c r="A641" s="396"/>
      <c r="B641" s="276"/>
      <c r="C641" s="277"/>
      <c r="D641" s="277"/>
      <c r="E641" s="277"/>
      <c r="F641" s="277"/>
      <c r="G641" s="277"/>
      <c r="H641" s="277"/>
      <c r="I641" s="278"/>
      <c r="J641" s="688" t="s">
        <v>313</v>
      </c>
      <c r="K641" s="740">
        <f>SUM(K642+K657+K660+K739+K740)</f>
        <v>68360</v>
      </c>
      <c r="L641" s="574">
        <f>SUM(L642+L657+L660+L739+L740)</f>
        <v>44970</v>
      </c>
      <c r="M641" s="574">
        <f>SUM(M642+M657+M660+M739+M740)</f>
        <v>42024839</v>
      </c>
      <c r="N641" s="457"/>
      <c r="P641" s="682"/>
    </row>
    <row r="642" spans="1:19" s="247" customFormat="1" ht="21.75" customHeight="1" thickBot="1">
      <c r="A642" s="396"/>
      <c r="B642" s="280"/>
      <c r="C642" s="281"/>
      <c r="D642" s="281"/>
      <c r="E642" s="281"/>
      <c r="F642" s="281"/>
      <c r="G642" s="281"/>
      <c r="H642" s="693">
        <v>600</v>
      </c>
      <c r="I642" s="283"/>
      <c r="J642" s="284" t="s">
        <v>314</v>
      </c>
      <c r="K642" s="285">
        <f>SUM(K643+K644+K645+K646+K647+K648+K649+K650+K651+K652+K653+K654+K655+K656)</f>
        <v>41700</v>
      </c>
      <c r="L642" s="285">
        <f>L643+L653+L656</f>
        <v>25135</v>
      </c>
      <c r="M642" s="719">
        <f>M643+M653+M656</f>
        <v>22453164</v>
      </c>
      <c r="N642" s="719"/>
      <c r="O642" s="247">
        <v>22453164</v>
      </c>
    </row>
    <row r="643" spans="1:19" s="247" customFormat="1" ht="15" customHeight="1">
      <c r="A643" s="396"/>
      <c r="B643" s="287"/>
      <c r="C643" s="288"/>
      <c r="D643" s="288"/>
      <c r="E643" s="288"/>
      <c r="F643" s="288"/>
      <c r="G643" s="288"/>
      <c r="H643" s="289"/>
      <c r="I643" s="290">
        <v>600.1</v>
      </c>
      <c r="J643" s="696" t="s">
        <v>315</v>
      </c>
      <c r="K643" s="817">
        <v>41700</v>
      </c>
      <c r="L643" s="747">
        <v>25135</v>
      </c>
      <c r="M643" s="932">
        <f>SUM(M644:M648)</f>
        <v>22404164</v>
      </c>
      <c r="N643" s="932"/>
    </row>
    <row r="644" spans="1:19" s="247" customFormat="1" ht="15" customHeight="1">
      <c r="A644" s="396"/>
      <c r="B644" s="292"/>
      <c r="C644" s="293"/>
      <c r="D644" s="293"/>
      <c r="E644" s="293"/>
      <c r="F644" s="293"/>
      <c r="G644" s="293"/>
      <c r="H644" s="294"/>
      <c r="I644" s="295">
        <v>600.1001</v>
      </c>
      <c r="J644" s="697" t="s">
        <v>316</v>
      </c>
      <c r="K644" s="297"/>
      <c r="L644" s="782"/>
      <c r="M644" s="933">
        <v>16445400</v>
      </c>
      <c r="N644" s="832"/>
      <c r="O644" s="935">
        <f>M642-O642</f>
        <v>0</v>
      </c>
      <c r="P644" s="930"/>
    </row>
    <row r="645" spans="1:19" s="247" customFormat="1" ht="15" customHeight="1">
      <c r="A645" s="396"/>
      <c r="B645" s="292"/>
      <c r="C645" s="293"/>
      <c r="D645" s="293"/>
      <c r="E645" s="293"/>
      <c r="F645" s="293"/>
      <c r="G645" s="293"/>
      <c r="H645" s="294"/>
      <c r="I645" s="295">
        <v>600.10019999999997</v>
      </c>
      <c r="J645" s="697" t="s">
        <v>317</v>
      </c>
      <c r="K645" s="297"/>
      <c r="L645" s="782"/>
      <c r="M645" s="933">
        <v>14978</v>
      </c>
      <c r="N645" s="832"/>
      <c r="O645" s="930"/>
      <c r="P645" s="930"/>
    </row>
    <row r="646" spans="1:19" s="247" customFormat="1" ht="15" customHeight="1">
      <c r="A646" s="396"/>
      <c r="B646" s="292"/>
      <c r="C646" s="293"/>
      <c r="D646" s="293"/>
      <c r="E646" s="293"/>
      <c r="F646" s="293"/>
      <c r="G646" s="293"/>
      <c r="H646" s="294"/>
      <c r="I646" s="295">
        <v>600.10029999999995</v>
      </c>
      <c r="J646" s="697" t="s">
        <v>318</v>
      </c>
      <c r="K646" s="297"/>
      <c r="L646" s="782"/>
      <c r="M646" s="933">
        <v>1227903</v>
      </c>
      <c r="N646" s="832"/>
      <c r="O646" s="935"/>
      <c r="P646" s="930"/>
    </row>
    <row r="647" spans="1:19" s="247" customFormat="1" ht="15" customHeight="1">
      <c r="A647" s="383"/>
      <c r="B647" s="292"/>
      <c r="C647" s="293"/>
      <c r="D647" s="293"/>
      <c r="E647" s="293"/>
      <c r="F647" s="293"/>
      <c r="G647" s="293"/>
      <c r="H647" s="294"/>
      <c r="I647" s="295">
        <v>600.10050000000001</v>
      </c>
      <c r="J647" s="296" t="s">
        <v>475</v>
      </c>
      <c r="K647" s="297"/>
      <c r="L647" s="782"/>
      <c r="M647" s="933">
        <v>4481968</v>
      </c>
      <c r="N647" s="832"/>
      <c r="O647" s="930"/>
      <c r="P647" s="930"/>
    </row>
    <row r="648" spans="1:19" s="247" customFormat="1" ht="15" customHeight="1">
      <c r="A648" s="396"/>
      <c r="B648" s="292"/>
      <c r="C648" s="293"/>
      <c r="D648" s="293"/>
      <c r="E648" s="293"/>
      <c r="F648" s="293"/>
      <c r="G648" s="293"/>
      <c r="H648" s="294"/>
      <c r="I648" s="295"/>
      <c r="J648" s="697" t="s">
        <v>326</v>
      </c>
      <c r="K648" s="297"/>
      <c r="L648" s="766"/>
      <c r="M648" s="933">
        <v>233915</v>
      </c>
      <c r="N648" s="832"/>
      <c r="O648" s="935">
        <f>M647-22288</f>
        <v>4459680</v>
      </c>
      <c r="P648" s="930"/>
    </row>
    <row r="649" spans="1:19" s="209" customFormat="1" ht="15" customHeight="1">
      <c r="A649" s="396"/>
      <c r="B649" s="299"/>
      <c r="C649" s="293"/>
      <c r="D649" s="293"/>
      <c r="E649" s="293"/>
      <c r="F649" s="293"/>
      <c r="G649" s="293"/>
      <c r="H649" s="294"/>
      <c r="I649" s="295">
        <v>600.20000000000005</v>
      </c>
      <c r="J649" s="697" t="s">
        <v>320</v>
      </c>
      <c r="K649" s="297"/>
      <c r="L649" s="815"/>
      <c r="M649" s="464"/>
      <c r="N649" s="832"/>
      <c r="O649" s="298"/>
      <c r="P649" s="247"/>
      <c r="Q649" s="247"/>
      <c r="R649" s="247"/>
      <c r="S649" s="286"/>
    </row>
    <row r="650" spans="1:19" s="247" customFormat="1" ht="15" customHeight="1">
      <c r="A650" s="396"/>
      <c r="B650" s="299"/>
      <c r="C650" s="293"/>
      <c r="D650" s="293"/>
      <c r="E650" s="293"/>
      <c r="F650" s="293"/>
      <c r="G650" s="293"/>
      <c r="H650" s="294"/>
      <c r="I650" s="295">
        <v>600.21</v>
      </c>
      <c r="J650" s="697" t="s">
        <v>321</v>
      </c>
      <c r="K650" s="297"/>
      <c r="L650" s="464"/>
      <c r="M650" s="464"/>
      <c r="N650" s="749"/>
      <c r="O650" s="298"/>
    </row>
    <row r="651" spans="1:19" s="247" customFormat="1" ht="15" customHeight="1">
      <c r="A651" s="396"/>
      <c r="B651" s="299"/>
      <c r="C651" s="293"/>
      <c r="D651" s="293"/>
      <c r="E651" s="293"/>
      <c r="F651" s="293"/>
      <c r="G651" s="293"/>
      <c r="H651" s="294"/>
      <c r="I651" s="295">
        <v>600.22</v>
      </c>
      <c r="J651" s="697" t="s">
        <v>322</v>
      </c>
      <c r="K651" s="297"/>
      <c r="L651" s="464"/>
      <c r="M651" s="464"/>
      <c r="N651" s="749"/>
      <c r="O651" s="298"/>
    </row>
    <row r="652" spans="1:19" s="247" customFormat="1" ht="15" customHeight="1">
      <c r="A652" s="396"/>
      <c r="B652" s="299"/>
      <c r="C652" s="293"/>
      <c r="D652" s="293"/>
      <c r="E652" s="293"/>
      <c r="F652" s="293"/>
      <c r="G652" s="293"/>
      <c r="H652" s="294"/>
      <c r="I652" s="295">
        <v>600.29</v>
      </c>
      <c r="J652" s="697" t="s">
        <v>323</v>
      </c>
      <c r="K652" s="297"/>
      <c r="L652" s="464"/>
      <c r="M652" s="464"/>
      <c r="N652" s="749"/>
      <c r="O652" s="298"/>
      <c r="P652" s="247">
        <v>0</v>
      </c>
    </row>
    <row r="653" spans="1:19" s="247" customFormat="1" ht="15" customHeight="1">
      <c r="A653" s="396"/>
      <c r="B653" s="299"/>
      <c r="C653" s="293"/>
      <c r="D653" s="293"/>
      <c r="E653" s="293"/>
      <c r="F653" s="293"/>
      <c r="G653" s="293"/>
      <c r="H653" s="294"/>
      <c r="I653" s="295">
        <v>600.29999999999995</v>
      </c>
      <c r="J653" s="697" t="s">
        <v>324</v>
      </c>
      <c r="K653" s="297"/>
      <c r="L653" s="464"/>
      <c r="M653" s="464">
        <v>49000</v>
      </c>
      <c r="N653" s="749"/>
      <c r="O653" s="298"/>
    </row>
    <row r="654" spans="1:19" s="247" customFormat="1" ht="15" customHeight="1">
      <c r="A654" s="396"/>
      <c r="B654" s="299"/>
      <c r="C654" s="293"/>
      <c r="D654" s="293"/>
      <c r="E654" s="293"/>
      <c r="F654" s="293"/>
      <c r="G654" s="293"/>
      <c r="H654" s="294"/>
      <c r="I654" s="295">
        <v>600.30999999999995</v>
      </c>
      <c r="J654" s="697" t="s">
        <v>325</v>
      </c>
      <c r="K654" s="297"/>
      <c r="L654" s="464"/>
      <c r="M654" s="464"/>
      <c r="N654" s="749"/>
      <c r="O654" s="298">
        <v>3635</v>
      </c>
    </row>
    <row r="655" spans="1:19" s="247" customFormat="1" ht="15" customHeight="1" thickBot="1">
      <c r="A655" s="396"/>
      <c r="B655" s="299"/>
      <c r="C655" s="293"/>
      <c r="D655" s="293"/>
      <c r="E655" s="293"/>
      <c r="F655" s="293"/>
      <c r="G655" s="293"/>
      <c r="H655" s="294"/>
      <c r="I655" s="295"/>
      <c r="J655" s="697" t="s">
        <v>323</v>
      </c>
      <c r="K655" s="297"/>
      <c r="L655" s="465"/>
      <c r="M655" s="934"/>
      <c r="N655" s="749"/>
      <c r="O655" s="298"/>
    </row>
    <row r="656" spans="1:19" s="247" customFormat="1" ht="15" customHeight="1" thickBot="1">
      <c r="A656" s="396"/>
      <c r="B656" s="300"/>
      <c r="C656" s="301"/>
      <c r="D656" s="301"/>
      <c r="E656" s="301"/>
      <c r="F656" s="301"/>
      <c r="G656" s="301"/>
      <c r="H656" s="302"/>
      <c r="I656" s="303">
        <v>600.9</v>
      </c>
      <c r="J656" s="304" t="s">
        <v>437</v>
      </c>
      <c r="K656" s="305"/>
      <c r="L656" s="810"/>
      <c r="M656" s="931"/>
      <c r="N656" s="749"/>
      <c r="O656" s="298"/>
    </row>
    <row r="657" spans="1:21" s="247" customFormat="1" ht="15" customHeight="1" thickBot="1">
      <c r="A657" s="396"/>
      <c r="B657" s="280"/>
      <c r="C657" s="281"/>
      <c r="D657" s="281"/>
      <c r="E657" s="281"/>
      <c r="F657" s="281"/>
      <c r="G657" s="281"/>
      <c r="H657" s="693">
        <v>601</v>
      </c>
      <c r="I657" s="283"/>
      <c r="J657" s="284" t="s">
        <v>328</v>
      </c>
      <c r="K657" s="820">
        <v>6660</v>
      </c>
      <c r="L657" s="285">
        <f>SUM(L658:L659)</f>
        <v>3835</v>
      </c>
      <c r="M657" s="719">
        <f>SUM(M658+M659)</f>
        <v>3635124</v>
      </c>
      <c r="N657" s="749"/>
      <c r="O657" s="298"/>
      <c r="S657" s="209"/>
      <c r="T657" s="209"/>
      <c r="U657" s="209"/>
    </row>
    <row r="658" spans="1:21" s="247" customFormat="1" ht="15" customHeight="1">
      <c r="A658" s="396"/>
      <c r="B658" s="306"/>
      <c r="C658" s="307"/>
      <c r="D658" s="307"/>
      <c r="E658" s="307"/>
      <c r="F658" s="307"/>
      <c r="G658" s="307"/>
      <c r="H658" s="308"/>
      <c r="I658" s="309">
        <v>601.01</v>
      </c>
      <c r="J658" s="696" t="s">
        <v>329</v>
      </c>
      <c r="K658" s="821">
        <v>6660</v>
      </c>
      <c r="L658" s="817">
        <v>3835</v>
      </c>
      <c r="M658" s="819">
        <v>3265082</v>
      </c>
      <c r="N658" s="749"/>
      <c r="O658" s="247">
        <v>449575</v>
      </c>
    </row>
    <row r="659" spans="1:21" s="247" customFormat="1" ht="15" customHeight="1" thickBot="1">
      <c r="A659" s="396"/>
      <c r="B659" s="300"/>
      <c r="C659" s="301"/>
      <c r="D659" s="301"/>
      <c r="E659" s="301"/>
      <c r="F659" s="301"/>
      <c r="G659" s="301"/>
      <c r="H659" s="302"/>
      <c r="I659" s="311">
        <v>601.11</v>
      </c>
      <c r="J659" s="698" t="s">
        <v>330</v>
      </c>
      <c r="K659" s="312"/>
      <c r="L659" s="467"/>
      <c r="M659" s="819">
        <v>370042</v>
      </c>
      <c r="N659" s="749"/>
      <c r="O659" s="298">
        <v>50951</v>
      </c>
    </row>
    <row r="660" spans="1:21" s="247" customFormat="1" ht="16.5" customHeight="1" thickBot="1">
      <c r="A660" s="396"/>
      <c r="B660" s="313"/>
      <c r="C660" s="314"/>
      <c r="D660" s="314"/>
      <c r="E660" s="314"/>
      <c r="F660" s="314"/>
      <c r="G660" s="314"/>
      <c r="H660" s="693">
        <v>602</v>
      </c>
      <c r="I660" s="316"/>
      <c r="J660" s="284" t="s">
        <v>170</v>
      </c>
      <c r="K660" s="285">
        <f>SUM(K661+K668+K681+K696+K701+K704+K713+K719+K726+K729)</f>
        <v>20000</v>
      </c>
      <c r="L660" s="285">
        <f>SUM(L661+L668+L681+L696+L701+L704+L713+L719+L726+L729)</f>
        <v>16000</v>
      </c>
      <c r="M660" s="285">
        <f>SUM(M661+M668+M681+M696+M701+M704+M713+M719+M726+M729)</f>
        <v>15936551</v>
      </c>
      <c r="N660" s="749"/>
      <c r="O660" s="298"/>
      <c r="S660" s="319"/>
      <c r="T660" s="319"/>
      <c r="U660" s="319"/>
    </row>
    <row r="661" spans="1:21" s="247" customFormat="1" ht="15" customHeight="1" thickBot="1">
      <c r="A661" s="396"/>
      <c r="B661" s="320"/>
      <c r="C661" s="321"/>
      <c r="D661" s="321"/>
      <c r="E661" s="321"/>
      <c r="F661" s="321"/>
      <c r="G661" s="321"/>
      <c r="H661" s="322"/>
      <c r="I661" s="323">
        <v>6020</v>
      </c>
      <c r="J661" s="324" t="s">
        <v>331</v>
      </c>
      <c r="K661" s="822">
        <v>20000</v>
      </c>
      <c r="L661" s="822">
        <v>16000</v>
      </c>
      <c r="M661" s="476">
        <f>SUM(M662+M663+M664+M665+M666+M667)</f>
        <v>1442720</v>
      </c>
      <c r="N661" s="749"/>
      <c r="O661" s="682">
        <f>SUM(O658:O660)</f>
        <v>500526</v>
      </c>
      <c r="P661" s="298"/>
      <c r="S661" s="149"/>
      <c r="T661" s="149"/>
      <c r="U661" s="149"/>
    </row>
    <row r="662" spans="1:21" s="247" customFormat="1" ht="15" customHeight="1">
      <c r="A662" s="383"/>
      <c r="B662" s="332"/>
      <c r="C662" s="333"/>
      <c r="D662" s="333"/>
      <c r="E662" s="333"/>
      <c r="F662" s="333"/>
      <c r="G662" s="333"/>
      <c r="H662" s="334"/>
      <c r="I662" s="335" t="s">
        <v>11</v>
      </c>
      <c r="J662" s="336" t="s">
        <v>172</v>
      </c>
      <c r="K662" s="337"/>
      <c r="L662" s="469"/>
      <c r="M662" s="469">
        <v>383600</v>
      </c>
      <c r="N662" s="836"/>
      <c r="O662" s="512"/>
      <c r="P662" s="512"/>
      <c r="Q662" s="513"/>
      <c r="R662" s="513"/>
      <c r="S662" s="512"/>
      <c r="T662" s="512"/>
      <c r="U662" s="149"/>
    </row>
    <row r="663" spans="1:21" s="247" customFormat="1" ht="15" customHeight="1">
      <c r="A663" s="396"/>
      <c r="B663" s="352"/>
      <c r="C663" s="353"/>
      <c r="D663" s="353"/>
      <c r="E663" s="353"/>
      <c r="F663" s="353"/>
      <c r="G663" s="353"/>
      <c r="H663" s="354"/>
      <c r="I663" s="360">
        <v>602.02</v>
      </c>
      <c r="J663" s="361" t="s">
        <v>332</v>
      </c>
      <c r="K663" s="357"/>
      <c r="L663" s="473"/>
      <c r="M663" s="473">
        <v>169440</v>
      </c>
      <c r="N663" s="836"/>
      <c r="O663" s="149"/>
      <c r="S663" s="149"/>
      <c r="T663" s="149"/>
      <c r="U663" s="149"/>
    </row>
    <row r="664" spans="1:21" s="209" customFormat="1" ht="15" customHeight="1">
      <c r="A664" s="396"/>
      <c r="B664" s="339"/>
      <c r="C664" s="340"/>
      <c r="D664" s="340"/>
      <c r="E664" s="340"/>
      <c r="F664" s="340"/>
      <c r="G664" s="340"/>
      <c r="H664" s="150"/>
      <c r="I664" s="341">
        <v>602.03</v>
      </c>
      <c r="J664" s="342" t="s">
        <v>467</v>
      </c>
      <c r="K664" s="343"/>
      <c r="L664" s="470"/>
      <c r="M664" s="470">
        <f>357000</f>
        <v>357000</v>
      </c>
      <c r="N664" s="834"/>
      <c r="O664" s="149"/>
      <c r="P664" s="247"/>
      <c r="Q664" s="247"/>
      <c r="R664" s="247"/>
      <c r="S664" s="149"/>
      <c r="T664" s="149"/>
      <c r="U664" s="149"/>
    </row>
    <row r="665" spans="1:21" s="247" customFormat="1" ht="15" customHeight="1">
      <c r="A665" s="397"/>
      <c r="B665" s="339"/>
      <c r="C665" s="340"/>
      <c r="D665" s="340"/>
      <c r="E665" s="340"/>
      <c r="F665" s="340"/>
      <c r="G665" s="340"/>
      <c r="H665" s="150"/>
      <c r="I665" s="341">
        <v>602.04</v>
      </c>
      <c r="J665" s="342" t="s">
        <v>334</v>
      </c>
      <c r="K665" s="343"/>
      <c r="L665" s="470"/>
      <c r="M665" s="470"/>
      <c r="N665" s="749"/>
      <c r="O665" s="149"/>
      <c r="S665" s="149"/>
      <c r="T665" s="149"/>
      <c r="U665" s="149"/>
    </row>
    <row r="666" spans="1:21" s="247" customFormat="1" ht="15" customHeight="1">
      <c r="A666" s="163"/>
      <c r="B666" s="339"/>
      <c r="C666" s="340"/>
      <c r="D666" s="340"/>
      <c r="E666" s="340"/>
      <c r="F666" s="340"/>
      <c r="G666" s="340"/>
      <c r="H666" s="150"/>
      <c r="I666" s="341">
        <v>602.04999999999995</v>
      </c>
      <c r="J666" s="342" t="s">
        <v>476</v>
      </c>
      <c r="K666" s="343"/>
      <c r="L666" s="470"/>
      <c r="M666" s="470">
        <v>354600</v>
      </c>
      <c r="N666" s="749"/>
      <c r="O666" s="149"/>
      <c r="S666" s="149"/>
      <c r="T666" s="149"/>
      <c r="U666" s="149"/>
    </row>
    <row r="667" spans="1:21" s="319" customFormat="1" ht="15" customHeight="1" thickBot="1">
      <c r="A667" s="163"/>
      <c r="B667" s="345"/>
      <c r="C667" s="346"/>
      <c r="D667" s="346"/>
      <c r="E667" s="346"/>
      <c r="F667" s="346"/>
      <c r="G667" s="346"/>
      <c r="H667" s="164"/>
      <c r="I667" s="347">
        <v>602.09</v>
      </c>
      <c r="J667" s="348" t="s">
        <v>498</v>
      </c>
      <c r="K667" s="349"/>
      <c r="L667" s="471"/>
      <c r="M667" s="471">
        <v>178080</v>
      </c>
      <c r="N667" s="837"/>
      <c r="O667" s="149"/>
      <c r="P667" s="247"/>
      <c r="Q667" s="247"/>
      <c r="R667" s="247"/>
      <c r="S667" s="149"/>
      <c r="T667" s="149"/>
      <c r="U667" s="149"/>
    </row>
    <row r="668" spans="1:21" ht="15" customHeight="1" thickBot="1">
      <c r="A668" s="163"/>
      <c r="B668" s="320"/>
      <c r="C668" s="321"/>
      <c r="D668" s="321"/>
      <c r="E668" s="321"/>
      <c r="F668" s="321"/>
      <c r="G668" s="321"/>
      <c r="H668" s="322"/>
      <c r="I668" s="323">
        <v>602.1</v>
      </c>
      <c r="J668" s="324" t="s">
        <v>336</v>
      </c>
      <c r="K668" s="351">
        <f>SUM(K669+K670+K671+K672+K673+K674+K675+K676+K677+K678+K679+K680)</f>
        <v>0</v>
      </c>
      <c r="L668" s="472">
        <f>SUM(L669+L670+L671+L672+L673+L674+L675+L676+L677+L678+L679+L680)</f>
        <v>0</v>
      </c>
      <c r="M668" s="472">
        <f>SUM(M669+M670+M671+M672+M673+M674+M675+M676+M677+M678+M679+M680)</f>
        <v>1336146</v>
      </c>
      <c r="N668" s="838"/>
      <c r="P668" s="247"/>
      <c r="Q668" s="247"/>
      <c r="R668" s="247"/>
    </row>
    <row r="669" spans="1:21" ht="15" customHeight="1">
      <c r="A669" s="163"/>
      <c r="B669" s="352"/>
      <c r="C669" s="353"/>
      <c r="D669" s="353"/>
      <c r="E669" s="353"/>
      <c r="F669" s="353"/>
      <c r="G669" s="353"/>
      <c r="H669" s="354"/>
      <c r="I669" s="355">
        <v>602.1001</v>
      </c>
      <c r="J669" s="699" t="s">
        <v>337</v>
      </c>
      <c r="K669" s="357"/>
      <c r="L669" s="473"/>
      <c r="M669" s="473"/>
      <c r="N669" s="800"/>
      <c r="P669" s="247"/>
      <c r="Q669" s="247"/>
      <c r="R669" s="247"/>
    </row>
    <row r="670" spans="1:21" ht="15" customHeight="1">
      <c r="A670" s="163"/>
      <c r="B670" s="339"/>
      <c r="C670" s="340"/>
      <c r="D670" s="340"/>
      <c r="E670" s="340"/>
      <c r="F670" s="340"/>
      <c r="G670" s="340"/>
      <c r="H670" s="150"/>
      <c r="I670" s="358">
        <v>602.10019999999997</v>
      </c>
      <c r="J670" s="700" t="s">
        <v>338</v>
      </c>
      <c r="K670" s="343"/>
      <c r="L670" s="470"/>
      <c r="M670" s="470"/>
      <c r="N670" s="800"/>
      <c r="P670" s="247"/>
      <c r="Q670" s="247"/>
      <c r="R670" s="247"/>
    </row>
    <row r="671" spans="1:21" ht="15" customHeight="1">
      <c r="A671" s="163"/>
      <c r="B671" s="339"/>
      <c r="C671" s="340"/>
      <c r="D671" s="340"/>
      <c r="E671" s="340"/>
      <c r="F671" s="340"/>
      <c r="G671" s="340"/>
      <c r="H671" s="150"/>
      <c r="I671" s="358">
        <v>602.10029999999995</v>
      </c>
      <c r="J671" s="700" t="s">
        <v>339</v>
      </c>
      <c r="K671" s="343"/>
      <c r="L671" s="470"/>
      <c r="M671" s="470"/>
      <c r="N671" s="800"/>
      <c r="P671" s="247"/>
      <c r="Q671" s="247"/>
      <c r="R671" s="247"/>
    </row>
    <row r="672" spans="1:21" ht="15" customHeight="1">
      <c r="A672" s="163"/>
      <c r="B672" s="339"/>
      <c r="C672" s="340"/>
      <c r="D672" s="340"/>
      <c r="E672" s="340"/>
      <c r="F672" s="340"/>
      <c r="G672" s="340"/>
      <c r="H672" s="150"/>
      <c r="I672" s="358">
        <v>602.10040000000004</v>
      </c>
      <c r="J672" s="700" t="s">
        <v>340</v>
      </c>
      <c r="K672" s="343"/>
      <c r="L672" s="470"/>
      <c r="M672" s="470"/>
      <c r="N672" s="800"/>
      <c r="P672" s="247"/>
      <c r="Q672" s="247"/>
      <c r="R672" s="247"/>
    </row>
    <row r="673" spans="1:18" ht="15" customHeight="1">
      <c r="A673" s="163"/>
      <c r="B673" s="339"/>
      <c r="C673" s="340"/>
      <c r="D673" s="340"/>
      <c r="E673" s="340"/>
      <c r="F673" s="340"/>
      <c r="G673" s="340"/>
      <c r="H673" s="150"/>
      <c r="I673" s="358">
        <v>602.10050000000001</v>
      </c>
      <c r="J673" s="700" t="s">
        <v>341</v>
      </c>
      <c r="K673" s="343"/>
      <c r="L673" s="470"/>
      <c r="M673" s="470"/>
      <c r="N673" s="800"/>
      <c r="P673" s="298"/>
      <c r="Q673" s="247"/>
      <c r="R673" s="247"/>
    </row>
    <row r="674" spans="1:18" ht="15" customHeight="1">
      <c r="A674" s="163"/>
      <c r="B674" s="339"/>
      <c r="C674" s="340"/>
      <c r="D674" s="340"/>
      <c r="E674" s="340"/>
      <c r="F674" s="340"/>
      <c r="G674" s="340"/>
      <c r="H674" s="150"/>
      <c r="I674" s="358">
        <v>602.10059999999999</v>
      </c>
      <c r="J674" s="700" t="s">
        <v>342</v>
      </c>
      <c r="K674" s="343"/>
      <c r="L674" s="470"/>
      <c r="M674" s="470"/>
      <c r="N674" s="800"/>
      <c r="P674" s="247"/>
      <c r="Q674" s="247"/>
      <c r="R674" s="247"/>
    </row>
    <row r="675" spans="1:18" ht="15" customHeight="1">
      <c r="A675" s="163"/>
      <c r="B675" s="339"/>
      <c r="C675" s="340"/>
      <c r="D675" s="340"/>
      <c r="E675" s="340"/>
      <c r="F675" s="340"/>
      <c r="G675" s="340"/>
      <c r="H675" s="150"/>
      <c r="I675" s="358">
        <v>602.10069999999996</v>
      </c>
      <c r="J675" s="700" t="s">
        <v>469</v>
      </c>
      <c r="K675" s="343"/>
      <c r="L675" s="470"/>
      <c r="M675" s="470">
        <v>395000</v>
      </c>
      <c r="N675" s="801"/>
      <c r="O675" s="804"/>
      <c r="P675" s="247"/>
      <c r="Q675" s="247"/>
      <c r="R675" s="247"/>
    </row>
    <row r="676" spans="1:18" ht="15" customHeight="1">
      <c r="A676" s="163"/>
      <c r="B676" s="339"/>
      <c r="C676" s="340"/>
      <c r="D676" s="340"/>
      <c r="E676" s="340"/>
      <c r="F676" s="340"/>
      <c r="G676" s="340"/>
      <c r="H676" s="150"/>
      <c r="I676" s="358">
        <v>602.10080000000005</v>
      </c>
      <c r="J676" s="700" t="s">
        <v>343</v>
      </c>
      <c r="K676" s="343"/>
      <c r="L676" s="470"/>
      <c r="M676" s="470"/>
      <c r="N676" s="800"/>
      <c r="O676" s="840"/>
      <c r="P676" s="247"/>
      <c r="Q676" s="247"/>
      <c r="R676" s="247"/>
    </row>
    <row r="677" spans="1:18" ht="15" customHeight="1">
      <c r="A677" s="163"/>
      <c r="B677" s="339"/>
      <c r="C677" s="340"/>
      <c r="D677" s="340"/>
      <c r="E677" s="340"/>
      <c r="F677" s="340"/>
      <c r="G677" s="340"/>
      <c r="H677" s="150"/>
      <c r="I677" s="358">
        <v>602.10090000000002</v>
      </c>
      <c r="J677" s="700" t="s">
        <v>344</v>
      </c>
      <c r="K677" s="344"/>
      <c r="L677" s="474"/>
      <c r="M677" s="474"/>
      <c r="N677" s="800"/>
      <c r="O677" s="841"/>
      <c r="P677" s="247"/>
      <c r="Q677" s="247"/>
      <c r="R677" s="247"/>
    </row>
    <row r="678" spans="1:18" ht="15" customHeight="1">
      <c r="A678" s="163"/>
      <c r="B678" s="339"/>
      <c r="C678" s="340"/>
      <c r="D678" s="340"/>
      <c r="E678" s="340"/>
      <c r="F678" s="340"/>
      <c r="G678" s="340"/>
      <c r="H678" s="150"/>
      <c r="I678" s="358">
        <v>602.101</v>
      </c>
      <c r="J678" s="700" t="s">
        <v>345</v>
      </c>
      <c r="K678" s="344"/>
      <c r="L678" s="474"/>
      <c r="M678" s="474"/>
      <c r="N678" s="800"/>
      <c r="O678" s="842"/>
      <c r="Q678" s="247"/>
      <c r="R678" s="247"/>
    </row>
    <row r="679" spans="1:18" ht="15" customHeight="1">
      <c r="A679" s="163"/>
      <c r="B679" s="339"/>
      <c r="C679" s="340"/>
      <c r="D679" s="340"/>
      <c r="E679" s="340"/>
      <c r="F679" s="340"/>
      <c r="G679" s="340"/>
      <c r="H679" s="150"/>
      <c r="I679" s="341">
        <v>602.10109999999997</v>
      </c>
      <c r="J679" s="700" t="s">
        <v>490</v>
      </c>
      <c r="K679" s="344"/>
      <c r="L679" s="474"/>
      <c r="M679" s="474">
        <v>244776</v>
      </c>
      <c r="N679" s="800"/>
      <c r="O679" s="802"/>
      <c r="Q679" s="247"/>
      <c r="R679" s="247"/>
    </row>
    <row r="680" spans="1:18" ht="15" customHeight="1" thickBot="1">
      <c r="A680" s="163"/>
      <c r="B680" s="367"/>
      <c r="C680" s="368"/>
      <c r="D680" s="368"/>
      <c r="E680" s="368"/>
      <c r="F680" s="368"/>
      <c r="G680" s="368"/>
      <c r="H680" s="369"/>
      <c r="I680" s="370">
        <v>602.10990000000004</v>
      </c>
      <c r="J680" s="701" t="s">
        <v>468</v>
      </c>
      <c r="K680" s="378"/>
      <c r="L680" s="475"/>
      <c r="M680" s="475">
        <f>805720-395000+43850+241800</f>
        <v>696370</v>
      </c>
      <c r="N680" s="800"/>
      <c r="O680" s="682"/>
      <c r="Q680" s="247"/>
      <c r="R680" s="247"/>
    </row>
    <row r="681" spans="1:18" ht="15" customHeight="1" thickBot="1">
      <c r="A681" s="163"/>
      <c r="B681" s="320"/>
      <c r="C681" s="321"/>
      <c r="D681" s="321"/>
      <c r="E681" s="321"/>
      <c r="F681" s="321"/>
      <c r="G681" s="321"/>
      <c r="H681" s="322"/>
      <c r="I681" s="323">
        <v>602.20000000000005</v>
      </c>
      <c r="J681" s="324" t="s">
        <v>348</v>
      </c>
      <c r="K681" s="351">
        <f>SUM(K682+K683+K684+K685+K686+K687+K688+K689+K690+K691+K692+K693+K694+K695)</f>
        <v>0</v>
      </c>
      <c r="L681" s="722">
        <f>SUM(L682+L683+L684+L687+L688+L689+L690+L691+L692+L693+L694+L695)</f>
        <v>0</v>
      </c>
      <c r="M681" s="722">
        <f>SUM(M682+M683+M684+M687+M688+M689+M690+M691+M692+M693+M694+M695)</f>
        <v>2506343</v>
      </c>
      <c r="N681" s="800"/>
      <c r="Q681" s="247"/>
      <c r="R681" s="247"/>
    </row>
    <row r="682" spans="1:18" ht="15" customHeight="1">
      <c r="A682" s="163"/>
      <c r="B682" s="352"/>
      <c r="C682" s="353"/>
      <c r="D682" s="353"/>
      <c r="E682" s="353"/>
      <c r="F682" s="353"/>
      <c r="G682" s="353"/>
      <c r="H682" s="354"/>
      <c r="I682" s="360">
        <v>602.20010000000002</v>
      </c>
      <c r="J682" s="361" t="s">
        <v>192</v>
      </c>
      <c r="K682" s="362"/>
      <c r="L682" s="755"/>
      <c r="M682" s="755">
        <v>780169</v>
      </c>
      <c r="N682" s="800"/>
      <c r="Q682" s="247"/>
      <c r="R682" s="247"/>
    </row>
    <row r="683" spans="1:18" ht="15" customHeight="1">
      <c r="A683" s="163"/>
      <c r="B683" s="339"/>
      <c r="C683" s="340"/>
      <c r="D683" s="340"/>
      <c r="E683" s="340"/>
      <c r="F683" s="340"/>
      <c r="G683" s="340"/>
      <c r="H683" s="150"/>
      <c r="I683" s="341">
        <v>602.2002</v>
      </c>
      <c r="J683" s="342" t="s">
        <v>349</v>
      </c>
      <c r="K683" s="344"/>
      <c r="L683" s="474">
        <v>0</v>
      </c>
      <c r="M683" s="474">
        <v>0</v>
      </c>
      <c r="N683" s="800"/>
      <c r="Q683" s="247"/>
      <c r="R683" s="247"/>
    </row>
    <row r="684" spans="1:18" ht="15" customHeight="1">
      <c r="A684" s="163"/>
      <c r="B684" s="339"/>
      <c r="C684" s="340"/>
      <c r="D684" s="340"/>
      <c r="E684" s="340"/>
      <c r="F684" s="340"/>
      <c r="G684" s="340"/>
      <c r="H684" s="150"/>
      <c r="I684" s="341">
        <v>602.20029999999997</v>
      </c>
      <c r="J684" s="342" t="s">
        <v>350</v>
      </c>
      <c r="K684" s="344"/>
      <c r="L684" s="478">
        <f>L685+L686</f>
        <v>0</v>
      </c>
      <c r="M684" s="478">
        <f>M685+M686</f>
        <v>523483</v>
      </c>
      <c r="N684" s="802"/>
      <c r="Q684" s="247"/>
      <c r="R684" s="247"/>
    </row>
    <row r="685" spans="1:18" ht="15" customHeight="1">
      <c r="A685" s="163"/>
      <c r="B685" s="339"/>
      <c r="C685" s="340"/>
      <c r="D685" s="340"/>
      <c r="E685" s="340"/>
      <c r="F685" s="340"/>
      <c r="G685" s="340"/>
      <c r="H685" s="150"/>
      <c r="I685" s="341"/>
      <c r="J685" s="906" t="s">
        <v>473</v>
      </c>
      <c r="K685" s="344"/>
      <c r="L685" s="764"/>
      <c r="M685" s="908">
        <f>306412+44000+23071</f>
        <v>373483</v>
      </c>
      <c r="N685" s="802"/>
      <c r="Q685" s="247"/>
      <c r="R685" s="247"/>
    </row>
    <row r="686" spans="1:18" ht="15" customHeight="1">
      <c r="A686" s="163"/>
      <c r="B686" s="339"/>
      <c r="C686" s="340"/>
      <c r="D686" s="340"/>
      <c r="E686" s="340"/>
      <c r="F686" s="340"/>
      <c r="G686" s="340"/>
      <c r="H686" s="150"/>
      <c r="I686" s="341"/>
      <c r="J686" s="907" t="s">
        <v>474</v>
      </c>
      <c r="K686" s="344"/>
      <c r="L686" s="765"/>
      <c r="M686" s="909">
        <v>150000</v>
      </c>
      <c r="N686" s="802"/>
      <c r="Q686" s="247"/>
      <c r="R686" s="247"/>
    </row>
    <row r="687" spans="1:18" ht="15" customHeight="1">
      <c r="A687" s="163"/>
      <c r="B687" s="339"/>
      <c r="C687" s="340"/>
      <c r="D687" s="340"/>
      <c r="E687" s="340"/>
      <c r="F687" s="340"/>
      <c r="G687" s="340"/>
      <c r="H687" s="150"/>
      <c r="I687" s="341">
        <v>602.20039999999995</v>
      </c>
      <c r="J687" s="342" t="s">
        <v>351</v>
      </c>
      <c r="K687" s="344"/>
      <c r="L687" s="754"/>
      <c r="M687" s="754">
        <v>243570</v>
      </c>
      <c r="N687" s="802"/>
      <c r="Q687" s="247"/>
      <c r="R687" s="247"/>
    </row>
    <row r="688" spans="1:18" ht="15" customHeight="1">
      <c r="A688" s="163"/>
      <c r="B688" s="339"/>
      <c r="C688" s="340"/>
      <c r="D688" s="340"/>
      <c r="E688" s="340"/>
      <c r="F688" s="340"/>
      <c r="G688" s="340"/>
      <c r="H688" s="150"/>
      <c r="I688" s="341">
        <v>602.20050000000003</v>
      </c>
      <c r="J688" s="342" t="s">
        <v>352</v>
      </c>
      <c r="K688" s="344"/>
      <c r="L688" s="474"/>
      <c r="M688" s="474">
        <v>250720</v>
      </c>
      <c r="N688" s="799"/>
      <c r="Q688" s="247"/>
      <c r="R688" s="247"/>
    </row>
    <row r="689" spans="1:20" ht="15" customHeight="1">
      <c r="A689" s="163"/>
      <c r="B689" s="339"/>
      <c r="C689" s="340"/>
      <c r="D689" s="340"/>
      <c r="E689" s="340"/>
      <c r="F689" s="340"/>
      <c r="G689" s="340"/>
      <c r="H689" s="150"/>
      <c r="I689" s="341">
        <v>602.20060000000001</v>
      </c>
      <c r="J689" s="342" t="s">
        <v>353</v>
      </c>
      <c r="K689" s="344"/>
      <c r="L689" s="474"/>
      <c r="M689" s="474"/>
      <c r="N689" s="803"/>
      <c r="Q689" s="247"/>
      <c r="R689" s="247"/>
    </row>
    <row r="690" spans="1:20" ht="15" customHeight="1">
      <c r="A690" s="163"/>
      <c r="B690" s="339"/>
      <c r="C690" s="340"/>
      <c r="D690" s="340"/>
      <c r="E690" s="340"/>
      <c r="F690" s="340"/>
      <c r="G690" s="340"/>
      <c r="H690" s="150"/>
      <c r="I690" s="341">
        <v>602.20069999999998</v>
      </c>
      <c r="J690" s="342" t="s">
        <v>354</v>
      </c>
      <c r="K690" s="344"/>
      <c r="L690" s="783"/>
      <c r="M690" s="783">
        <v>200</v>
      </c>
      <c r="N690" s="802"/>
      <c r="Q690" s="247"/>
      <c r="R690" s="247"/>
    </row>
    <row r="691" spans="1:20" ht="15" customHeight="1">
      <c r="A691" s="163"/>
      <c r="B691" s="339"/>
      <c r="C691" s="340"/>
      <c r="D691" s="340"/>
      <c r="E691" s="340"/>
      <c r="F691" s="340"/>
      <c r="G691" s="340"/>
      <c r="H691" s="150"/>
      <c r="I691" s="341">
        <v>602.20079999999996</v>
      </c>
      <c r="J691" s="342" t="s">
        <v>355</v>
      </c>
      <c r="K691" s="344"/>
      <c r="L691" s="474"/>
      <c r="M691" s="474">
        <v>430386</v>
      </c>
      <c r="N691" s="804"/>
      <c r="Q691" s="247"/>
      <c r="R691" s="247"/>
    </row>
    <row r="692" spans="1:20" ht="15" customHeight="1">
      <c r="A692" s="163"/>
      <c r="B692" s="339"/>
      <c r="C692" s="340"/>
      <c r="D692" s="340"/>
      <c r="E692" s="340"/>
      <c r="F692" s="340"/>
      <c r="G692" s="340"/>
      <c r="H692" s="150"/>
      <c r="I692" s="341">
        <v>602.20090000000005</v>
      </c>
      <c r="J692" s="342" t="s">
        <v>356</v>
      </c>
      <c r="K692" s="344"/>
      <c r="L692" s="474"/>
      <c r="M692" s="474"/>
      <c r="N692" s="750"/>
      <c r="Q692" s="247"/>
      <c r="R692" s="247"/>
    </row>
    <row r="693" spans="1:20" ht="15" customHeight="1">
      <c r="A693" s="163"/>
      <c r="B693" s="339"/>
      <c r="C693" s="340"/>
      <c r="D693" s="340"/>
      <c r="E693" s="340"/>
      <c r="F693" s="340"/>
      <c r="G693" s="340"/>
      <c r="H693" s="150"/>
      <c r="I693" s="341">
        <v>602.20100000000002</v>
      </c>
      <c r="J693" s="342" t="s">
        <v>357</v>
      </c>
      <c r="K693" s="344"/>
      <c r="L693" s="474"/>
      <c r="M693" s="474">
        <v>33747</v>
      </c>
      <c r="N693" s="751"/>
      <c r="O693" s="682"/>
      <c r="Q693" s="247"/>
      <c r="R693" s="247"/>
    </row>
    <row r="694" spans="1:20" ht="15" customHeight="1">
      <c r="A694" s="163"/>
      <c r="B694" s="339"/>
      <c r="C694" s="340"/>
      <c r="D694" s="340"/>
      <c r="E694" s="340"/>
      <c r="F694" s="340"/>
      <c r="G694" s="340"/>
      <c r="H694" s="150"/>
      <c r="I694" s="341">
        <v>602.20110000000102</v>
      </c>
      <c r="J694" s="342" t="s">
        <v>204</v>
      </c>
      <c r="K694" s="344"/>
      <c r="L694" s="474"/>
      <c r="M694" s="474">
        <v>68400</v>
      </c>
      <c r="N694" s="383"/>
      <c r="Q694" s="247"/>
      <c r="R694" s="247"/>
    </row>
    <row r="695" spans="1:20" ht="15" customHeight="1" thickBot="1">
      <c r="A695" s="163"/>
      <c r="B695" s="345"/>
      <c r="C695" s="346"/>
      <c r="D695" s="346"/>
      <c r="E695" s="346"/>
      <c r="F695" s="346"/>
      <c r="G695" s="346"/>
      <c r="H695" s="164"/>
      <c r="I695" s="347">
        <v>602.20989999999995</v>
      </c>
      <c r="J695" s="348" t="s">
        <v>496</v>
      </c>
      <c r="K695" s="350"/>
      <c r="L695" s="475"/>
      <c r="M695" s="475">
        <v>175668</v>
      </c>
      <c r="N695" s="802"/>
      <c r="O695" s="512"/>
      <c r="P695" s="512"/>
      <c r="Q695" s="513"/>
      <c r="R695" s="513"/>
      <c r="S695" s="512"/>
      <c r="T695" s="512"/>
    </row>
    <row r="696" spans="1:20" ht="15" customHeight="1" thickBot="1">
      <c r="A696" s="163"/>
      <c r="B696" s="320"/>
      <c r="C696" s="321"/>
      <c r="D696" s="321"/>
      <c r="E696" s="321"/>
      <c r="F696" s="321"/>
      <c r="G696" s="321"/>
      <c r="H696" s="322"/>
      <c r="I696" s="323">
        <v>6023</v>
      </c>
      <c r="J696" s="324" t="s">
        <v>206</v>
      </c>
      <c r="K696" s="351">
        <f>SUM(K697+K698+K699+K700)</f>
        <v>0</v>
      </c>
      <c r="L696" s="476">
        <f>SUM(L697+L698+L699+L700)</f>
        <v>0</v>
      </c>
      <c r="M696" s="476">
        <f>SUM(M697:M700)</f>
        <v>3270234</v>
      </c>
      <c r="N696" s="802"/>
      <c r="O696" s="512"/>
      <c r="P696" s="512"/>
      <c r="Q696" s="513"/>
      <c r="R696" s="247"/>
    </row>
    <row r="697" spans="1:20" ht="15" customHeight="1">
      <c r="A697" s="163"/>
      <c r="B697" s="352"/>
      <c r="C697" s="353"/>
      <c r="D697" s="353"/>
      <c r="E697" s="353"/>
      <c r="F697" s="353"/>
      <c r="G697" s="353"/>
      <c r="H697" s="354"/>
      <c r="I697" s="360">
        <v>602.30999999999995</v>
      </c>
      <c r="J697" s="361" t="s">
        <v>207</v>
      </c>
      <c r="K697" s="362"/>
      <c r="L697" s="477"/>
      <c r="M697" s="477">
        <v>2917614</v>
      </c>
      <c r="N697" s="802"/>
      <c r="O697" s="512"/>
      <c r="P697" s="512"/>
      <c r="Q697" s="513"/>
      <c r="R697" s="247"/>
    </row>
    <row r="698" spans="1:20" ht="15" customHeight="1">
      <c r="A698" s="163"/>
      <c r="B698" s="339"/>
      <c r="C698" s="340"/>
      <c r="D698" s="340"/>
      <c r="E698" s="340"/>
      <c r="F698" s="340"/>
      <c r="G698" s="340"/>
      <c r="H698" s="150"/>
      <c r="I698" s="341">
        <v>602.32000000000005</v>
      </c>
      <c r="J698" s="342" t="s">
        <v>359</v>
      </c>
      <c r="K698" s="344"/>
      <c r="L698" s="474"/>
      <c r="M698" s="474">
        <v>352620</v>
      </c>
      <c r="N698" s="802"/>
      <c r="O698" s="512"/>
      <c r="P698" s="512"/>
      <c r="Q698" s="513"/>
      <c r="R698" s="247"/>
    </row>
    <row r="699" spans="1:20" ht="15" customHeight="1">
      <c r="A699" s="163"/>
      <c r="B699" s="339"/>
      <c r="C699" s="340"/>
      <c r="D699" s="340"/>
      <c r="E699" s="340"/>
      <c r="F699" s="340"/>
      <c r="G699" s="340"/>
      <c r="H699" s="150"/>
      <c r="I699" s="341">
        <v>602.33000000000004</v>
      </c>
      <c r="J699" s="342" t="s">
        <v>360</v>
      </c>
      <c r="K699" s="344"/>
      <c r="L699" s="474"/>
      <c r="M699" s="474"/>
      <c r="N699" s="802"/>
      <c r="O699" s="512"/>
      <c r="P699" s="512"/>
      <c r="Q699" s="513"/>
      <c r="R699" s="247"/>
    </row>
    <row r="700" spans="1:20" ht="15" customHeight="1" thickBot="1">
      <c r="A700" s="163"/>
      <c r="B700" s="345"/>
      <c r="C700" s="346"/>
      <c r="D700" s="346"/>
      <c r="E700" s="346"/>
      <c r="F700" s="346"/>
      <c r="G700" s="346"/>
      <c r="H700" s="164"/>
      <c r="I700" s="347">
        <v>602.39</v>
      </c>
      <c r="J700" s="348" t="s">
        <v>361</v>
      </c>
      <c r="K700" s="350"/>
      <c r="L700" s="798"/>
      <c r="M700" s="798"/>
      <c r="N700" s="802"/>
      <c r="O700" s="512"/>
      <c r="P700" s="512"/>
      <c r="Q700" s="513"/>
      <c r="R700" s="247"/>
    </row>
    <row r="701" spans="1:20" ht="15" customHeight="1" thickBot="1">
      <c r="A701" s="163"/>
      <c r="B701" s="320"/>
      <c r="C701" s="321"/>
      <c r="D701" s="321"/>
      <c r="E701" s="321"/>
      <c r="F701" s="321"/>
      <c r="G701" s="321"/>
      <c r="H701" s="322"/>
      <c r="I701" s="323">
        <v>602.4</v>
      </c>
      <c r="J701" s="324" t="s">
        <v>362</v>
      </c>
      <c r="K701" s="351">
        <f>SUM(K702+K703)</f>
        <v>0</v>
      </c>
      <c r="L701" s="476">
        <f>SUM(L702+L703)</f>
        <v>0</v>
      </c>
      <c r="M701" s="476">
        <f>SUM(M702:M703)</f>
        <v>3582425</v>
      </c>
      <c r="N701" s="802"/>
      <c r="O701" s="512"/>
      <c r="P701" s="512"/>
      <c r="Q701" s="513"/>
      <c r="R701" s="247"/>
    </row>
    <row r="702" spans="1:20" ht="15" customHeight="1">
      <c r="A702" s="163"/>
      <c r="B702" s="352"/>
      <c r="C702" s="353"/>
      <c r="D702" s="353"/>
      <c r="E702" s="353"/>
      <c r="F702" s="353"/>
      <c r="G702" s="353"/>
      <c r="H702" s="354"/>
      <c r="I702" s="360">
        <v>602.4</v>
      </c>
      <c r="J702" s="361" t="s">
        <v>363</v>
      </c>
      <c r="K702" s="362"/>
      <c r="L702" s="712"/>
      <c r="M702" s="712">
        <v>3582425</v>
      </c>
      <c r="N702" s="802"/>
      <c r="O702" s="512"/>
      <c r="P702" s="512"/>
      <c r="Q702" s="513"/>
      <c r="R702" s="247"/>
    </row>
    <row r="703" spans="1:20" ht="15" customHeight="1" thickBot="1">
      <c r="A703" s="163"/>
      <c r="B703" s="345"/>
      <c r="C703" s="346"/>
      <c r="D703" s="346"/>
      <c r="E703" s="346"/>
      <c r="F703" s="346"/>
      <c r="G703" s="346"/>
      <c r="H703" s="164"/>
      <c r="I703" s="347">
        <v>602.41</v>
      </c>
      <c r="J703" s="348" t="s">
        <v>364</v>
      </c>
      <c r="K703" s="350"/>
      <c r="L703" s="797"/>
      <c r="M703" s="797"/>
      <c r="N703" s="799"/>
      <c r="O703" s="512"/>
      <c r="P703" s="512"/>
      <c r="Q703" s="513"/>
      <c r="R703" s="247"/>
    </row>
    <row r="704" spans="1:20" ht="15" customHeight="1" thickBot="1">
      <c r="A704" s="163"/>
      <c r="B704" s="320"/>
      <c r="C704" s="321"/>
      <c r="D704" s="321"/>
      <c r="E704" s="321"/>
      <c r="F704" s="321"/>
      <c r="G704" s="321"/>
      <c r="H704" s="322"/>
      <c r="I704" s="323">
        <v>602.5</v>
      </c>
      <c r="J704" s="324" t="s">
        <v>365</v>
      </c>
      <c r="K704" s="351">
        <f>SUM(K705+K706+K707+K708+K709+K710+K711+K712)</f>
        <v>0</v>
      </c>
      <c r="L704" s="472">
        <f>SUM(L705+L706+L707+L708+L709+L710+L711+L712)</f>
        <v>0</v>
      </c>
      <c r="M704" s="472">
        <f>SUM(M705:M712)</f>
        <v>729040</v>
      </c>
      <c r="N704" s="804"/>
      <c r="O704" s="512"/>
      <c r="P704" s="512"/>
      <c r="Q704" s="513"/>
      <c r="R704" s="247"/>
    </row>
    <row r="705" spans="1:18" ht="15" customHeight="1">
      <c r="A705" s="163"/>
      <c r="B705" s="352"/>
      <c r="C705" s="353"/>
      <c r="D705" s="353"/>
      <c r="E705" s="353"/>
      <c r="F705" s="353"/>
      <c r="G705" s="353"/>
      <c r="H705" s="354"/>
      <c r="I705" s="360">
        <v>602.5</v>
      </c>
      <c r="J705" s="361" t="s">
        <v>366</v>
      </c>
      <c r="K705" s="364"/>
      <c r="L705" s="481"/>
      <c r="M705" s="481"/>
      <c r="N705" s="802"/>
      <c r="Q705" s="247"/>
      <c r="R705" s="247"/>
    </row>
    <row r="706" spans="1:18" ht="15" customHeight="1">
      <c r="A706" s="163"/>
      <c r="B706" s="339"/>
      <c r="C706" s="340"/>
      <c r="D706" s="340"/>
      <c r="E706" s="340"/>
      <c r="F706" s="340"/>
      <c r="G706" s="340"/>
      <c r="H706" s="150"/>
      <c r="I706" s="341">
        <v>602.51</v>
      </c>
      <c r="J706" s="342" t="s">
        <v>367</v>
      </c>
      <c r="K706" s="365"/>
      <c r="L706" s="482"/>
      <c r="M706" s="482"/>
      <c r="N706" s="802"/>
      <c r="Q706" s="247"/>
      <c r="R706" s="247"/>
    </row>
    <row r="707" spans="1:18" ht="15" customHeight="1">
      <c r="A707" s="163"/>
      <c r="B707" s="339"/>
      <c r="C707" s="340"/>
      <c r="D707" s="340"/>
      <c r="E707" s="340"/>
      <c r="F707" s="340"/>
      <c r="G707" s="340"/>
      <c r="H707" s="150"/>
      <c r="I707" s="341">
        <v>602.52</v>
      </c>
      <c r="J707" s="342" t="s">
        <v>497</v>
      </c>
      <c r="K707" s="365"/>
      <c r="L707" s="482"/>
      <c r="M707" s="482">
        <f>466888+105100-175668</f>
        <v>396320</v>
      </c>
      <c r="N707" s="802"/>
      <c r="Q707" s="247"/>
      <c r="R707" s="247"/>
    </row>
    <row r="708" spans="1:18" ht="15" customHeight="1" thickBot="1">
      <c r="A708" s="163"/>
      <c r="B708" s="367"/>
      <c r="C708" s="368"/>
      <c r="D708" s="368"/>
      <c r="E708" s="368"/>
      <c r="F708" s="368"/>
      <c r="G708" s="368"/>
      <c r="H708" s="369"/>
      <c r="I708" s="370">
        <v>602.53</v>
      </c>
      <c r="J708" s="371" t="s">
        <v>369</v>
      </c>
      <c r="K708" s="372"/>
      <c r="L708" s="483"/>
      <c r="M708" s="483"/>
      <c r="N708" s="799"/>
      <c r="Q708" s="247"/>
      <c r="R708" s="247"/>
    </row>
    <row r="709" spans="1:18" ht="15" customHeight="1">
      <c r="A709" s="163"/>
      <c r="B709" s="332"/>
      <c r="C709" s="333"/>
      <c r="D709" s="333"/>
      <c r="E709" s="333"/>
      <c r="F709" s="333"/>
      <c r="G709" s="333"/>
      <c r="H709" s="334"/>
      <c r="I709" s="335">
        <v>602.54</v>
      </c>
      <c r="J709" s="336" t="s">
        <v>405</v>
      </c>
      <c r="K709" s="373"/>
      <c r="L709" s="469"/>
      <c r="M709" s="469"/>
      <c r="N709" s="140"/>
      <c r="Q709" s="247"/>
      <c r="R709" s="247"/>
    </row>
    <row r="710" spans="1:18" ht="15" customHeight="1">
      <c r="A710" s="163"/>
      <c r="B710" s="339"/>
      <c r="C710" s="340"/>
      <c r="D710" s="340"/>
      <c r="E710" s="340"/>
      <c r="F710" s="340"/>
      <c r="G710" s="340"/>
      <c r="H710" s="150"/>
      <c r="I710" s="341">
        <v>602.54999999999995</v>
      </c>
      <c r="J710" s="342" t="s">
        <v>370</v>
      </c>
      <c r="K710" s="365"/>
      <c r="L710" s="710"/>
      <c r="M710" s="710"/>
      <c r="N710" s="802"/>
      <c r="Q710" s="247"/>
      <c r="R710" s="247"/>
    </row>
    <row r="711" spans="1:18" ht="15" customHeight="1">
      <c r="A711" s="163"/>
      <c r="B711" s="339"/>
      <c r="C711" s="340"/>
      <c r="D711" s="340"/>
      <c r="E711" s="340"/>
      <c r="F711" s="340"/>
      <c r="G711" s="340"/>
      <c r="H711" s="150"/>
      <c r="I711" s="341">
        <v>602.55999999999995</v>
      </c>
      <c r="J711" s="342" t="s">
        <v>371</v>
      </c>
      <c r="K711" s="365"/>
      <c r="L711" s="482"/>
      <c r="M711" s="482"/>
      <c r="N711" s="801"/>
      <c r="Q711" s="247"/>
      <c r="R711" s="247"/>
    </row>
    <row r="712" spans="1:18" ht="15" customHeight="1" thickBot="1">
      <c r="A712" s="163"/>
      <c r="B712" s="345"/>
      <c r="C712" s="346"/>
      <c r="D712" s="346"/>
      <c r="E712" s="346"/>
      <c r="F712" s="346"/>
      <c r="G712" s="346"/>
      <c r="H712" s="164"/>
      <c r="I712" s="347">
        <v>602.58000000000004</v>
      </c>
      <c r="J712" s="348" t="s">
        <v>499</v>
      </c>
      <c r="K712" s="374"/>
      <c r="L712" s="711"/>
      <c r="M712" s="711">
        <f>194950+137770</f>
        <v>332720</v>
      </c>
      <c r="N712" s="801"/>
      <c r="Q712" s="247"/>
      <c r="R712" s="247"/>
    </row>
    <row r="713" spans="1:18" ht="15" customHeight="1" thickBot="1">
      <c r="A713" s="163"/>
      <c r="B713" s="320"/>
      <c r="C713" s="321"/>
      <c r="D713" s="321"/>
      <c r="E713" s="321"/>
      <c r="F713" s="321"/>
      <c r="G713" s="321"/>
      <c r="H713" s="322"/>
      <c r="I713" s="323">
        <v>602.6</v>
      </c>
      <c r="J713" s="324" t="s">
        <v>373</v>
      </c>
      <c r="K713" s="376">
        <f>SUM(K714+K715+K716+K717+K718)</f>
        <v>0</v>
      </c>
      <c r="L713" s="485">
        <f>SUM(L714+L715+L716+L717+L718)</f>
        <v>0</v>
      </c>
      <c r="M713" s="485">
        <f>SUM(M714+M715+M716+M717+M718)</f>
        <v>66000</v>
      </c>
      <c r="N713" s="801"/>
      <c r="Q713" s="247"/>
      <c r="R713" s="247"/>
    </row>
    <row r="714" spans="1:18" ht="15" customHeight="1">
      <c r="A714" s="163"/>
      <c r="B714" s="352"/>
      <c r="C714" s="353"/>
      <c r="D714" s="353"/>
      <c r="E714" s="353"/>
      <c r="F714" s="353"/>
      <c r="G714" s="353"/>
      <c r="H714" s="354"/>
      <c r="I714" s="360">
        <v>602.61</v>
      </c>
      <c r="J714" s="361" t="s">
        <v>374</v>
      </c>
      <c r="K714" s="364"/>
      <c r="L714" s="481"/>
      <c r="M714" s="481">
        <v>30000</v>
      </c>
      <c r="N714" s="801"/>
      <c r="Q714" s="247"/>
      <c r="R714" s="247"/>
    </row>
    <row r="715" spans="1:18" ht="15" customHeight="1">
      <c r="A715" s="163"/>
      <c r="B715" s="339"/>
      <c r="C715" s="340"/>
      <c r="D715" s="340"/>
      <c r="E715" s="340"/>
      <c r="F715" s="340"/>
      <c r="G715" s="340"/>
      <c r="H715" s="150"/>
      <c r="I715" s="341">
        <v>602.62</v>
      </c>
      <c r="J715" s="342" t="s">
        <v>375</v>
      </c>
      <c r="K715" s="365"/>
      <c r="L715" s="482"/>
      <c r="M715" s="482"/>
      <c r="N715" s="801"/>
      <c r="Q715" s="247"/>
      <c r="R715" s="247"/>
    </row>
    <row r="716" spans="1:18" ht="15" customHeight="1">
      <c r="A716" s="163"/>
      <c r="B716" s="339"/>
      <c r="C716" s="340"/>
      <c r="D716" s="340"/>
      <c r="E716" s="340"/>
      <c r="F716" s="340"/>
      <c r="G716" s="340"/>
      <c r="H716" s="150"/>
      <c r="I716" s="341">
        <v>602.63</v>
      </c>
      <c r="J716" s="342" t="s">
        <v>376</v>
      </c>
      <c r="K716" s="365"/>
      <c r="L716" s="482"/>
      <c r="M716" s="482"/>
      <c r="N716" s="801"/>
      <c r="Q716" s="247"/>
      <c r="R716" s="247"/>
    </row>
    <row r="717" spans="1:18" ht="15" customHeight="1">
      <c r="A717" s="163"/>
      <c r="B717" s="339"/>
      <c r="C717" s="340"/>
      <c r="D717" s="340"/>
      <c r="E717" s="340"/>
      <c r="F717" s="340"/>
      <c r="G717" s="340"/>
      <c r="H717" s="150"/>
      <c r="I717" s="341">
        <v>602.64</v>
      </c>
      <c r="J717" s="342" t="s">
        <v>377</v>
      </c>
      <c r="K717" s="365"/>
      <c r="L717" s="482"/>
      <c r="M717" s="482">
        <v>36000</v>
      </c>
      <c r="N717" s="140"/>
      <c r="Q717" s="247"/>
      <c r="R717" s="247"/>
    </row>
    <row r="718" spans="1:18" ht="15" customHeight="1" thickBot="1">
      <c r="A718" s="163"/>
      <c r="B718" s="345"/>
      <c r="C718" s="346"/>
      <c r="D718" s="346"/>
      <c r="E718" s="346"/>
      <c r="F718" s="346"/>
      <c r="G718" s="346"/>
      <c r="H718" s="164"/>
      <c r="I718" s="347">
        <v>602.69000000000005</v>
      </c>
      <c r="J718" s="348" t="s">
        <v>378</v>
      </c>
      <c r="K718" s="374"/>
      <c r="L718" s="486"/>
      <c r="M718" s="486"/>
      <c r="N718" s="801"/>
      <c r="Q718" s="247"/>
      <c r="R718" s="247"/>
    </row>
    <row r="719" spans="1:18" ht="15" customHeight="1" thickBot="1">
      <c r="A719" s="163"/>
      <c r="B719" s="320"/>
      <c r="C719" s="321"/>
      <c r="D719" s="321"/>
      <c r="E719" s="321"/>
      <c r="F719" s="321"/>
      <c r="G719" s="321"/>
      <c r="H719" s="322"/>
      <c r="I719" s="377">
        <v>602.70000000000005</v>
      </c>
      <c r="J719" s="324" t="s">
        <v>379</v>
      </c>
      <c r="K719" s="376">
        <f>SUM(K720+K721+K722+K723+K724+K725)</f>
        <v>0</v>
      </c>
      <c r="L719" s="485">
        <f>SUM(L720+L721+L722+L723+L724+L725)</f>
        <v>0</v>
      </c>
      <c r="M719" s="485">
        <f>SUM(M720:M725)</f>
        <v>2428143</v>
      </c>
      <c r="N719" s="140"/>
    </row>
    <row r="720" spans="1:18" ht="15" customHeight="1">
      <c r="A720" s="163"/>
      <c r="B720" s="352"/>
      <c r="C720" s="353"/>
      <c r="D720" s="353"/>
      <c r="E720" s="353"/>
      <c r="F720" s="353"/>
      <c r="G720" s="353"/>
      <c r="H720" s="354"/>
      <c r="I720" s="360">
        <v>602.71</v>
      </c>
      <c r="J720" s="361" t="s">
        <v>380</v>
      </c>
      <c r="K720" s="364"/>
      <c r="L720" s="481"/>
      <c r="M720" s="481"/>
      <c r="N720" s="804"/>
    </row>
    <row r="721" spans="1:14" ht="15" customHeight="1">
      <c r="A721" s="163"/>
      <c r="B721" s="339"/>
      <c r="C721" s="340"/>
      <c r="D721" s="340"/>
      <c r="E721" s="340"/>
      <c r="F721" s="340"/>
      <c r="G721" s="340"/>
      <c r="H721" s="150"/>
      <c r="I721" s="341">
        <v>602.72</v>
      </c>
      <c r="J721" s="342" t="s">
        <v>381</v>
      </c>
      <c r="K721" s="365"/>
      <c r="L721" s="482"/>
      <c r="M721" s="482"/>
      <c r="N721" s="801"/>
    </row>
    <row r="722" spans="1:14" ht="15" customHeight="1">
      <c r="A722" s="163"/>
      <c r="B722" s="339"/>
      <c r="C722" s="340"/>
      <c r="D722" s="340"/>
      <c r="E722" s="340"/>
      <c r="F722" s="340"/>
      <c r="G722" s="340"/>
      <c r="H722" s="150"/>
      <c r="I722" s="341">
        <v>602.73</v>
      </c>
      <c r="J722" s="342" t="s">
        <v>382</v>
      </c>
      <c r="K722" s="365"/>
      <c r="L722" s="482"/>
      <c r="M722" s="482"/>
      <c r="N722" s="801"/>
    </row>
    <row r="723" spans="1:14" ht="15" customHeight="1">
      <c r="A723" s="163"/>
      <c r="B723" s="339"/>
      <c r="C723" s="340"/>
      <c r="D723" s="340"/>
      <c r="E723" s="340"/>
      <c r="F723" s="340"/>
      <c r="G723" s="340"/>
      <c r="H723" s="150"/>
      <c r="I723" s="341">
        <v>602.74</v>
      </c>
      <c r="J723" s="342" t="s">
        <v>383</v>
      </c>
      <c r="K723" s="365"/>
      <c r="L723" s="781"/>
      <c r="M723" s="781">
        <v>2331343</v>
      </c>
      <c r="N723" s="801"/>
    </row>
    <row r="724" spans="1:14" ht="15" customHeight="1">
      <c r="A724" s="163"/>
      <c r="B724" s="339"/>
      <c r="C724" s="340"/>
      <c r="D724" s="340"/>
      <c r="E724" s="340"/>
      <c r="F724" s="340"/>
      <c r="G724" s="340"/>
      <c r="H724" s="150"/>
      <c r="I724" s="341">
        <v>602.75</v>
      </c>
      <c r="J724" s="342" t="s">
        <v>384</v>
      </c>
      <c r="K724" s="365"/>
      <c r="L724" s="482"/>
      <c r="M724" s="482">
        <v>96800</v>
      </c>
      <c r="N724" s="801"/>
    </row>
    <row r="725" spans="1:14" ht="15" customHeight="1" thickBot="1">
      <c r="A725" s="163"/>
      <c r="B725" s="345"/>
      <c r="C725" s="346"/>
      <c r="D725" s="346"/>
      <c r="E725" s="346"/>
      <c r="F725" s="346"/>
      <c r="G725" s="346"/>
      <c r="H725" s="164"/>
      <c r="I725" s="347">
        <v>602.79</v>
      </c>
      <c r="J725" s="348" t="s">
        <v>385</v>
      </c>
      <c r="K725" s="374"/>
      <c r="L725" s="486"/>
      <c r="M725" s="486"/>
      <c r="N725" s="801"/>
    </row>
    <row r="726" spans="1:14" ht="15" customHeight="1" thickBot="1">
      <c r="A726" s="163"/>
      <c r="B726" s="320"/>
      <c r="C726" s="321"/>
      <c r="D726" s="321"/>
      <c r="E726" s="321"/>
      <c r="F726" s="321"/>
      <c r="G726" s="321"/>
      <c r="H726" s="322"/>
      <c r="I726" s="377">
        <v>602.79999999999995</v>
      </c>
      <c r="J726" s="324" t="s">
        <v>386</v>
      </c>
      <c r="K726" s="376">
        <f>SUM(K727+K728)</f>
        <v>0</v>
      </c>
      <c r="L726" s="485">
        <f>SUM(L727+L728)</f>
        <v>0</v>
      </c>
      <c r="M726" s="485">
        <f>SUM(M727+M728)</f>
        <v>0</v>
      </c>
      <c r="N726" s="804"/>
    </row>
    <row r="727" spans="1:14" ht="15" customHeight="1">
      <c r="A727" s="163"/>
      <c r="B727" s="352"/>
      <c r="C727" s="353"/>
      <c r="D727" s="353"/>
      <c r="E727" s="353"/>
      <c r="F727" s="353"/>
      <c r="G727" s="353"/>
      <c r="H727" s="354"/>
      <c r="I727" s="360">
        <v>602.80999999999995</v>
      </c>
      <c r="J727" s="361" t="s">
        <v>387</v>
      </c>
      <c r="K727" s="357"/>
      <c r="L727" s="473"/>
      <c r="M727" s="473"/>
      <c r="N727" s="801"/>
    </row>
    <row r="728" spans="1:14" ht="15" customHeight="1" thickBot="1">
      <c r="A728" s="163"/>
      <c r="B728" s="345"/>
      <c r="C728" s="346"/>
      <c r="D728" s="346"/>
      <c r="E728" s="346"/>
      <c r="F728" s="346"/>
      <c r="G728" s="346"/>
      <c r="H728" s="164"/>
      <c r="I728" s="347">
        <v>602.82000000000005</v>
      </c>
      <c r="J728" s="348" t="s">
        <v>388</v>
      </c>
      <c r="K728" s="349"/>
      <c r="L728" s="471"/>
      <c r="M728" s="471"/>
      <c r="N728" s="801"/>
    </row>
    <row r="729" spans="1:14" ht="15" customHeight="1" thickBot="1">
      <c r="A729" s="163"/>
      <c r="B729" s="320"/>
      <c r="C729" s="321"/>
      <c r="D729" s="321"/>
      <c r="E729" s="321"/>
      <c r="F729" s="321"/>
      <c r="G729" s="321"/>
      <c r="H729" s="322"/>
      <c r="I729" s="323">
        <v>602.9</v>
      </c>
      <c r="J729" s="324" t="s">
        <v>389</v>
      </c>
      <c r="K729" s="376">
        <f>SUM(K730+K731+K732+K733+K734+K735+K736+K737+K738)</f>
        <v>0</v>
      </c>
      <c r="L729" s="485">
        <f>SUM(L730+L731+L732+L733+L734+L735+L736+L737+L738)</f>
        <v>0</v>
      </c>
      <c r="M729" s="485">
        <f>SUM(M730+M731+M732+M733+M734+M735+M736+M737+M738)</f>
        <v>575500</v>
      </c>
      <c r="N729" s="801"/>
    </row>
    <row r="730" spans="1:14" ht="15" customHeight="1">
      <c r="A730" s="163"/>
      <c r="B730" s="332"/>
      <c r="C730" s="333"/>
      <c r="D730" s="333"/>
      <c r="E730" s="333"/>
      <c r="F730" s="333"/>
      <c r="G730" s="333"/>
      <c r="H730" s="334"/>
      <c r="I730" s="335">
        <v>602.90009999999995</v>
      </c>
      <c r="J730" s="336" t="s">
        <v>390</v>
      </c>
      <c r="K730" s="338"/>
      <c r="L730" s="487"/>
      <c r="M730" s="487"/>
      <c r="N730" s="801"/>
    </row>
    <row r="731" spans="1:14" ht="15" customHeight="1">
      <c r="A731" s="163"/>
      <c r="B731" s="339"/>
      <c r="C731" s="340"/>
      <c r="D731" s="340"/>
      <c r="E731" s="340"/>
      <c r="F731" s="340"/>
      <c r="G731" s="340"/>
      <c r="H731" s="150"/>
      <c r="I731" s="341">
        <v>602.90020000000004</v>
      </c>
      <c r="J731" s="342" t="s">
        <v>392</v>
      </c>
      <c r="K731" s="344"/>
      <c r="L731" s="474"/>
      <c r="M731" s="474"/>
      <c r="N731" s="801"/>
    </row>
    <row r="732" spans="1:14" ht="15" customHeight="1">
      <c r="A732" s="163"/>
      <c r="B732" s="339"/>
      <c r="C732" s="340"/>
      <c r="D732" s="340"/>
      <c r="E732" s="340"/>
      <c r="F732" s="340"/>
      <c r="G732" s="340"/>
      <c r="H732" s="150"/>
      <c r="I732" s="341">
        <v>602.90030000000002</v>
      </c>
      <c r="J732" s="342" t="s">
        <v>391</v>
      </c>
      <c r="K732" s="344"/>
      <c r="L732" s="474"/>
      <c r="M732" s="474"/>
      <c r="N732" s="801"/>
    </row>
    <row r="733" spans="1:14" ht="15" customHeight="1">
      <c r="A733" s="163"/>
      <c r="B733" s="339"/>
      <c r="C733" s="340"/>
      <c r="D733" s="340"/>
      <c r="E733" s="340"/>
      <c r="F733" s="340"/>
      <c r="G733" s="340"/>
      <c r="H733" s="150"/>
      <c r="I733" s="341">
        <v>602.90039999999999</v>
      </c>
      <c r="J733" s="342" t="s">
        <v>393</v>
      </c>
      <c r="K733" s="344"/>
      <c r="L733" s="474"/>
      <c r="M733" s="474"/>
      <c r="N733" s="804"/>
    </row>
    <row r="734" spans="1:14" ht="15" customHeight="1">
      <c r="A734" s="163"/>
      <c r="B734" s="339"/>
      <c r="C734" s="340"/>
      <c r="D734" s="340"/>
      <c r="E734" s="340"/>
      <c r="F734" s="340"/>
      <c r="G734" s="340"/>
      <c r="H734" s="150"/>
      <c r="I734" s="341">
        <v>602.90049999999997</v>
      </c>
      <c r="J734" s="342" t="s">
        <v>394</v>
      </c>
      <c r="K734" s="344"/>
      <c r="L734" s="474"/>
      <c r="M734" s="474">
        <v>575500</v>
      </c>
      <c r="N734" s="800">
        <f>P726</f>
        <v>0</v>
      </c>
    </row>
    <row r="735" spans="1:14" ht="15" customHeight="1">
      <c r="A735" s="163"/>
      <c r="B735" s="339"/>
      <c r="C735" s="340"/>
      <c r="D735" s="340"/>
      <c r="E735" s="340"/>
      <c r="F735" s="340"/>
      <c r="G735" s="340"/>
      <c r="H735" s="150"/>
      <c r="I735" s="341">
        <v>602.90060000000005</v>
      </c>
      <c r="J735" s="342" t="s">
        <v>395</v>
      </c>
      <c r="K735" s="344"/>
      <c r="L735" s="474"/>
      <c r="M735" s="474"/>
      <c r="N735" s="800"/>
    </row>
    <row r="736" spans="1:14" ht="15" customHeight="1">
      <c r="A736" s="163"/>
      <c r="B736" s="339"/>
      <c r="C736" s="340"/>
      <c r="D736" s="340"/>
      <c r="E736" s="340"/>
      <c r="F736" s="340"/>
      <c r="G736" s="340"/>
      <c r="H736" s="150"/>
      <c r="I736" s="341">
        <v>602.90070000000003</v>
      </c>
      <c r="J736" s="342" t="s">
        <v>396</v>
      </c>
      <c r="K736" s="343"/>
      <c r="L736" s="470"/>
      <c r="M736" s="470"/>
      <c r="N736" s="804"/>
    </row>
    <row r="737" spans="1:27" ht="15" customHeight="1">
      <c r="A737" s="163"/>
      <c r="B737" s="339"/>
      <c r="C737" s="340"/>
      <c r="D737" s="340"/>
      <c r="E737" s="340"/>
      <c r="F737" s="340"/>
      <c r="G737" s="340"/>
      <c r="H737" s="150"/>
      <c r="I737" s="341">
        <v>602.90080000000103</v>
      </c>
      <c r="J737" s="342" t="s">
        <v>397</v>
      </c>
      <c r="K737" s="344"/>
      <c r="L737" s="474"/>
      <c r="M737" s="474"/>
      <c r="N737" s="802"/>
    </row>
    <row r="738" spans="1:27" ht="15" customHeight="1" thickBot="1">
      <c r="A738" s="163"/>
      <c r="B738" s="345"/>
      <c r="C738" s="346"/>
      <c r="D738" s="346"/>
      <c r="E738" s="346"/>
      <c r="F738" s="346"/>
      <c r="G738" s="346"/>
      <c r="H738" s="164"/>
      <c r="I738" s="347">
        <v>602.900900000001</v>
      </c>
      <c r="J738" s="348" t="s">
        <v>398</v>
      </c>
      <c r="K738" s="350"/>
      <c r="L738" s="480"/>
      <c r="M738" s="480"/>
      <c r="N738" s="802"/>
    </row>
    <row r="739" spans="1:27" ht="15" customHeight="1" thickBot="1">
      <c r="A739" s="163"/>
      <c r="B739" s="732"/>
      <c r="C739" s="733"/>
      <c r="D739" s="733"/>
      <c r="E739" s="733"/>
      <c r="F739" s="733"/>
      <c r="G739" s="776"/>
      <c r="H739" s="777">
        <v>606</v>
      </c>
      <c r="I739" s="735">
        <v>606.91</v>
      </c>
      <c r="J739" s="736" t="s">
        <v>406</v>
      </c>
      <c r="K739" s="737"/>
      <c r="L739" s="725"/>
      <c r="M739" s="725"/>
      <c r="N739" s="802"/>
    </row>
    <row r="740" spans="1:27" ht="15" customHeight="1" thickBot="1">
      <c r="A740" s="163"/>
      <c r="B740" s="385"/>
      <c r="C740" s="386"/>
      <c r="D740" s="386"/>
      <c r="E740" s="692">
        <v>6</v>
      </c>
      <c r="F740" s="386"/>
      <c r="G740" s="778">
        <v>10430</v>
      </c>
      <c r="H740" s="779">
        <v>231</v>
      </c>
      <c r="I740" s="390"/>
      <c r="J740" s="391" t="s">
        <v>435</v>
      </c>
      <c r="K740" s="388"/>
      <c r="L740" s="388"/>
      <c r="M740" s="388"/>
      <c r="N740" s="802"/>
    </row>
    <row r="741" spans="1:27" ht="15" customHeight="1">
      <c r="A741" s="163"/>
      <c r="B741" s="5"/>
      <c r="C741" s="163"/>
      <c r="D741" s="163"/>
      <c r="E741" s="741"/>
      <c r="F741" s="163"/>
      <c r="G741" s="844"/>
      <c r="H741" s="845"/>
      <c r="I741" s="163"/>
      <c r="J741" s="744"/>
      <c r="K741" s="380"/>
      <c r="L741" s="380"/>
      <c r="M741" s="380"/>
      <c r="N741" s="802"/>
    </row>
    <row r="742" spans="1:27" ht="15.95" customHeight="1">
      <c r="A742" s="163"/>
      <c r="B742" s="224"/>
      <c r="C742" s="703" t="s">
        <v>401</v>
      </c>
      <c r="D742" s="163"/>
      <c r="E742" s="163"/>
      <c r="F742" s="163"/>
      <c r="G742" s="163"/>
      <c r="H742" s="163"/>
      <c r="I742" s="163"/>
      <c r="J742" s="379"/>
      <c r="K742" s="380"/>
      <c r="L742" s="488"/>
      <c r="M742" s="488"/>
      <c r="N742" s="802"/>
    </row>
    <row r="743" spans="1:27" ht="15.95" customHeight="1">
      <c r="A743" s="163"/>
      <c r="B743" s="224"/>
      <c r="C743" s="703" t="s">
        <v>433</v>
      </c>
      <c r="D743" s="163"/>
      <c r="E743" s="163"/>
      <c r="F743" s="163"/>
      <c r="G743" s="163"/>
      <c r="H743" s="163"/>
      <c r="I743" s="163"/>
      <c r="J743" s="379"/>
      <c r="K743" s="382"/>
      <c r="L743" s="490"/>
      <c r="M743" s="490"/>
      <c r="N743" s="802"/>
    </row>
    <row r="744" spans="1:27" ht="15.95" customHeight="1">
      <c r="A744" s="163"/>
      <c r="B744" s="224"/>
      <c r="C744" s="163"/>
      <c r="D744" s="383" t="s">
        <v>402</v>
      </c>
      <c r="E744" s="383"/>
      <c r="F744" s="383"/>
      <c r="G744" s="383"/>
      <c r="H744" s="163"/>
      <c r="J744" s="384" t="s">
        <v>411</v>
      </c>
      <c r="K744" s="488"/>
      <c r="L744" s="488"/>
      <c r="M744" s="488"/>
      <c r="N744" s="800"/>
    </row>
    <row r="745" spans="1:27" ht="15.95" customHeight="1">
      <c r="A745" s="163"/>
      <c r="B745" s="224"/>
      <c r="C745" s="163"/>
      <c r="D745" s="704" t="s">
        <v>439</v>
      </c>
      <c r="E745" s="383"/>
      <c r="F745" s="383"/>
      <c r="G745" s="383"/>
      <c r="H745" s="383"/>
      <c r="I745" s="383"/>
      <c r="J745" s="149"/>
      <c r="K745" s="702" t="s">
        <v>440</v>
      </c>
      <c r="L745" s="489"/>
      <c r="M745" s="489"/>
      <c r="N745" s="802"/>
    </row>
    <row r="746" spans="1:27">
      <c r="B746" s="5"/>
      <c r="C746" s="5"/>
      <c r="D746" s="5"/>
      <c r="E746" s="5"/>
      <c r="F746" s="5"/>
      <c r="G746" s="5"/>
      <c r="H746" s="5"/>
      <c r="I746" s="5"/>
      <c r="J746" s="5"/>
      <c r="K746" s="5"/>
      <c r="L746" s="683"/>
      <c r="M746" s="683"/>
      <c r="N746" s="683"/>
    </row>
    <row r="747" spans="1:27">
      <c r="A747" s="163"/>
      <c r="B747" s="163"/>
      <c r="C747" s="210"/>
      <c r="D747" s="210"/>
      <c r="E747" s="210"/>
      <c r="F747" s="210"/>
      <c r="G747" s="210"/>
      <c r="H747" s="211"/>
      <c r="I747" s="211"/>
      <c r="J747" s="211"/>
      <c r="K747" s="211"/>
      <c r="L747" s="211"/>
      <c r="M747" s="211"/>
      <c r="N747" s="211"/>
    </row>
    <row r="748" spans="1:27" ht="15">
      <c r="A748" s="163"/>
      <c r="B748" s="163"/>
      <c r="C748" s="210"/>
      <c r="D748" s="210"/>
      <c r="E748" s="210"/>
      <c r="F748" s="210"/>
      <c r="G748" s="210"/>
      <c r="H748" s="210"/>
      <c r="I748" s="213"/>
      <c r="J748" s="681"/>
      <c r="K748" s="215"/>
      <c r="L748" s="210"/>
      <c r="M748" s="210"/>
      <c r="N748" s="210"/>
    </row>
    <row r="749" spans="1:27">
      <c r="A749" s="163"/>
      <c r="B749" s="163"/>
      <c r="C749" s="210"/>
      <c r="D749" s="210"/>
      <c r="E749" s="210"/>
      <c r="F749" s="210"/>
      <c r="G749" s="210"/>
      <c r="H749" s="211"/>
      <c r="I749" s="211"/>
      <c r="J749" s="211"/>
      <c r="K749" s="211"/>
      <c r="L749" s="212"/>
      <c r="M749" s="212"/>
      <c r="N749" s="452"/>
      <c r="O749" s="220"/>
      <c r="P749" s="220"/>
      <c r="Q749" s="220"/>
      <c r="R749" s="220"/>
      <c r="S749" s="220"/>
      <c r="U749" s="220"/>
      <c r="V749" s="220"/>
      <c r="X749" s="220"/>
      <c r="Y749" s="220"/>
      <c r="Z749" s="220"/>
      <c r="AA749" s="220"/>
    </row>
    <row r="750" spans="1:27">
      <c r="B750" s="163"/>
      <c r="C750" s="210"/>
      <c r="D750" s="210"/>
      <c r="E750" s="210"/>
      <c r="F750" s="210"/>
      <c r="G750" s="210"/>
      <c r="H750" s="210"/>
      <c r="I750" s="830"/>
      <c r="J750" s="845"/>
      <c r="K750" s="830"/>
      <c r="L750" s="835"/>
      <c r="M750" s="835"/>
      <c r="N750" s="453"/>
      <c r="O750" s="223"/>
      <c r="P750" s="223"/>
      <c r="Q750" s="223"/>
      <c r="R750" s="223"/>
      <c r="S750" s="223"/>
      <c r="T750" s="811"/>
      <c r="U750" s="223"/>
      <c r="V750" s="223"/>
      <c r="X750" s="223"/>
      <c r="Y750" s="223"/>
      <c r="Z750" s="223"/>
      <c r="AA750" s="223"/>
    </row>
    <row r="751" spans="1:27" ht="15">
      <c r="B751" s="216"/>
      <c r="C751" s="217"/>
      <c r="D751" s="217"/>
      <c r="E751" s="218"/>
      <c r="F751" s="218"/>
      <c r="G751" s="218"/>
      <c r="H751" s="218"/>
      <c r="I751" s="911"/>
      <c r="J751" s="911"/>
      <c r="K751" s="912"/>
      <c r="L751" s="913"/>
      <c r="M751" s="913"/>
      <c r="N751" s="453"/>
      <c r="O751" s="223"/>
      <c r="P751" s="223"/>
      <c r="Q751" s="223"/>
      <c r="R751" s="223"/>
      <c r="S751" s="223"/>
      <c r="T751" s="811"/>
      <c r="W751" s="811"/>
      <c r="X751" s="223"/>
      <c r="Y751" s="223"/>
      <c r="Z751" s="223"/>
      <c r="AA751" s="223"/>
    </row>
    <row r="752" spans="1:27" ht="15">
      <c r="B752" s="221"/>
      <c r="C752" s="218" t="s">
        <v>301</v>
      </c>
      <c r="D752" s="218"/>
      <c r="E752" s="218"/>
      <c r="F752" s="218"/>
      <c r="G752" s="218"/>
      <c r="H752" s="218"/>
      <c r="I752" s="911"/>
      <c r="J752" s="914"/>
      <c r="K752" s="911"/>
      <c r="L752" s="913"/>
      <c r="M752" s="913"/>
      <c r="N752" s="210"/>
      <c r="T752" s="811"/>
    </row>
    <row r="753" spans="1:27" ht="15">
      <c r="B753" s="221"/>
      <c r="C753" s="218" t="s">
        <v>415</v>
      </c>
      <c r="D753" s="218"/>
      <c r="E753" s="218"/>
      <c r="F753" s="223"/>
      <c r="G753" s="218"/>
      <c r="H753" s="218"/>
      <c r="I753" s="911"/>
      <c r="J753" s="911"/>
      <c r="K753" s="913"/>
      <c r="L753" s="914"/>
      <c r="M753" s="913"/>
      <c r="N753" s="826"/>
    </row>
    <row r="754" spans="1:27" ht="15">
      <c r="A754" s="163"/>
      <c r="B754" s="224"/>
      <c r="C754" s="224"/>
      <c r="E754" s="224"/>
      <c r="F754" s="224"/>
      <c r="G754" s="392" t="s">
        <v>416</v>
      </c>
      <c r="H754" s="224"/>
      <c r="I754" s="915"/>
      <c r="J754" s="65"/>
      <c r="K754" s="916"/>
      <c r="L754" s="917"/>
      <c r="M754" s="917"/>
      <c r="N754" s="826"/>
      <c r="T754" s="209"/>
      <c r="W754" s="209"/>
    </row>
    <row r="755" spans="1:27" ht="14.25">
      <c r="A755" s="394"/>
      <c r="B755" s="5"/>
      <c r="C755" s="383" t="s">
        <v>300</v>
      </c>
      <c r="D755" s="226"/>
      <c r="E755" s="5"/>
      <c r="F755" s="163"/>
      <c r="G755" s="226"/>
      <c r="H755" s="214"/>
      <c r="I755" s="910"/>
      <c r="J755" s="918"/>
      <c r="K755" s="912" t="s">
        <v>504</v>
      </c>
      <c r="L755" s="919"/>
      <c r="M755" s="919"/>
      <c r="N755" s="826"/>
      <c r="T755" s="209"/>
      <c r="W755" s="209"/>
    </row>
    <row r="756" spans="1:27" ht="14.25">
      <c r="A756" s="395"/>
      <c r="B756" s="233"/>
      <c r="C756" s="233"/>
      <c r="D756" s="237"/>
      <c r="E756" s="233"/>
      <c r="F756" s="233"/>
      <c r="G756" s="234"/>
      <c r="H756" s="235"/>
      <c r="I756" s="920"/>
      <c r="J756" s="921" t="s">
        <v>423</v>
      </c>
      <c r="K756" s="238"/>
      <c r="L756" s="456"/>
      <c r="M756" s="456"/>
      <c r="N756" s="826"/>
      <c r="S756" s="247"/>
      <c r="T756" s="209"/>
      <c r="W756" s="209"/>
    </row>
    <row r="757" spans="1:27" ht="32.25" thickBot="1">
      <c r="A757" s="163"/>
      <c r="B757" s="239"/>
      <c r="C757" s="233"/>
      <c r="D757" s="233"/>
      <c r="E757" s="235"/>
      <c r="F757" s="235"/>
      <c r="G757" s="235"/>
      <c r="H757" s="235"/>
      <c r="I757" s="922"/>
      <c r="J757" s="936" t="s">
        <v>503</v>
      </c>
      <c r="K757" s="922"/>
      <c r="L757" s="739"/>
      <c r="M757" s="923"/>
      <c r="N757" s="828"/>
    </row>
    <row r="758" spans="1:27" ht="80.25" thickBot="1">
      <c r="A758" s="163"/>
      <c r="B758" s="689" t="s">
        <v>137</v>
      </c>
      <c r="C758" s="690" t="s">
        <v>138</v>
      </c>
      <c r="D758" s="689" t="s">
        <v>139</v>
      </c>
      <c r="E758" s="689" t="s">
        <v>140</v>
      </c>
      <c r="F758" s="689" t="s">
        <v>141</v>
      </c>
      <c r="G758" s="689" t="s">
        <v>142</v>
      </c>
      <c r="H758" s="691" t="s">
        <v>126</v>
      </c>
      <c r="I758" s="689" t="s">
        <v>143</v>
      </c>
      <c r="J758" s="684" t="s">
        <v>304</v>
      </c>
      <c r="K758" s="245" t="s">
        <v>434</v>
      </c>
      <c r="L758" s="937" t="s">
        <v>502</v>
      </c>
      <c r="M758" s="685" t="s">
        <v>305</v>
      </c>
      <c r="N758" s="149"/>
    </row>
    <row r="759" spans="1:27" ht="63.75" thickBot="1">
      <c r="A759" s="163"/>
      <c r="B759" s="248" t="s">
        <v>148</v>
      </c>
      <c r="C759" s="249">
        <v>25</v>
      </c>
      <c r="D759" s="517" t="s">
        <v>267</v>
      </c>
      <c r="E759" s="250">
        <v>1</v>
      </c>
      <c r="F759" s="250">
        <v>1111</v>
      </c>
      <c r="G759" s="694">
        <v>10430</v>
      </c>
      <c r="H759" s="251"/>
      <c r="I759" s="252"/>
      <c r="J759" s="687" t="s">
        <v>308</v>
      </c>
      <c r="K759" s="254">
        <f>SUM(K760+K761+K762+K763)</f>
        <v>0</v>
      </c>
      <c r="L759" s="459">
        <f>SUM(L760+L761+L762+L763)</f>
        <v>0</v>
      </c>
      <c r="M759" s="459"/>
      <c r="N759" s="829"/>
      <c r="O759" s="247"/>
      <c r="P759" s="247"/>
      <c r="Q759" s="247"/>
      <c r="R759" s="247"/>
      <c r="S759" s="247"/>
      <c r="T759" s="209"/>
      <c r="U759" s="247"/>
      <c r="V759" s="247"/>
      <c r="W759" s="247"/>
      <c r="X759" s="247"/>
      <c r="Y759" s="247"/>
      <c r="Z759" s="247"/>
      <c r="AA759" s="247"/>
    </row>
    <row r="760" spans="1:27">
      <c r="A760" s="163"/>
      <c r="B760" s="255"/>
      <c r="C760" s="256"/>
      <c r="D760" s="256"/>
      <c r="E760" s="256">
        <v>1</v>
      </c>
      <c r="F760" s="256"/>
      <c r="G760" s="256"/>
      <c r="H760" s="257"/>
      <c r="I760" s="258"/>
      <c r="J760" s="259" t="s">
        <v>309</v>
      </c>
      <c r="K760" s="260"/>
      <c r="L760" s="460"/>
      <c r="M760" s="460"/>
      <c r="N760" s="831"/>
      <c r="O760" s="247"/>
      <c r="P760" s="247"/>
      <c r="Q760" s="209"/>
      <c r="R760" s="209"/>
      <c r="S760" s="247"/>
      <c r="T760" s="247"/>
      <c r="U760" s="247"/>
      <c r="V760" s="247"/>
      <c r="W760" s="247"/>
      <c r="X760" s="247"/>
      <c r="Y760" s="247"/>
      <c r="Z760" s="247"/>
      <c r="AA760" s="247"/>
    </row>
    <row r="761" spans="1:27" ht="15.75">
      <c r="A761" s="163"/>
      <c r="B761" s="262"/>
      <c r="C761" s="263"/>
      <c r="D761" s="263"/>
      <c r="E761" s="263">
        <v>5</v>
      </c>
      <c r="F761" s="263"/>
      <c r="G761" s="263"/>
      <c r="H761" s="264"/>
      <c r="I761" s="265"/>
      <c r="J761" s="266" t="s">
        <v>310</v>
      </c>
      <c r="K761" s="267"/>
      <c r="L761" s="461"/>
      <c r="M761" s="461"/>
      <c r="N761" s="832"/>
      <c r="O761" s="609"/>
      <c r="P761" s="207"/>
      <c r="Q761" s="247"/>
      <c r="R761" s="298"/>
      <c r="S761" s="247"/>
      <c r="T761" s="247"/>
      <c r="U761" s="247"/>
      <c r="V761" s="247"/>
      <c r="W761" s="247"/>
      <c r="X761" s="247"/>
      <c r="Y761" s="247"/>
      <c r="Z761" s="247"/>
      <c r="AA761" s="247"/>
    </row>
    <row r="762" spans="1:27" ht="15.75">
      <c r="A762" s="163"/>
      <c r="B762" s="262"/>
      <c r="C762" s="263"/>
      <c r="D762" s="263"/>
      <c r="E762" s="263">
        <v>5</v>
      </c>
      <c r="F762" s="263"/>
      <c r="G762" s="263"/>
      <c r="H762" s="264"/>
      <c r="I762" s="265"/>
      <c r="J762" s="266" t="s">
        <v>311</v>
      </c>
      <c r="K762" s="267"/>
      <c r="L762" s="461"/>
      <c r="M762" s="461"/>
      <c r="N762" s="832"/>
      <c r="O762" s="609"/>
      <c r="P762" s="207"/>
      <c r="Q762" s="247"/>
      <c r="R762" s="247"/>
      <c r="S762" s="247"/>
      <c r="T762" s="247"/>
      <c r="U762" s="298"/>
      <c r="V762" s="298"/>
      <c r="W762" s="247"/>
      <c r="X762" s="247"/>
      <c r="Y762" s="247"/>
      <c r="Z762" s="247"/>
      <c r="AA762" s="247"/>
    </row>
    <row r="763" spans="1:27" ht="16.5" thickBot="1">
      <c r="A763" s="396"/>
      <c r="B763" s="269"/>
      <c r="C763" s="270"/>
      <c r="D763" s="270"/>
      <c r="E763" s="270">
        <v>6</v>
      </c>
      <c r="F763" s="270"/>
      <c r="G763" s="270"/>
      <c r="H763" s="271"/>
      <c r="I763" s="272"/>
      <c r="J763" s="273" t="s">
        <v>312</v>
      </c>
      <c r="K763" s="274"/>
      <c r="L763" s="462"/>
      <c r="M763" s="462"/>
      <c r="N763" s="832"/>
      <c r="O763" s="609"/>
      <c r="P763" s="207"/>
      <c r="Q763" s="247"/>
      <c r="R763" s="298"/>
      <c r="S763" s="247"/>
      <c r="T763" s="247"/>
      <c r="U763" s="247"/>
      <c r="V763" s="247"/>
      <c r="W763" s="247"/>
      <c r="X763" s="247"/>
      <c r="Y763" s="247"/>
      <c r="Z763" s="247"/>
      <c r="AA763" s="247"/>
    </row>
    <row r="764" spans="1:27" ht="16.5" thickBot="1">
      <c r="A764" s="396"/>
      <c r="B764" s="276"/>
      <c r="C764" s="277"/>
      <c r="D764" s="277"/>
      <c r="E764" s="277"/>
      <c r="F764" s="277"/>
      <c r="G764" s="277"/>
      <c r="H764" s="277"/>
      <c r="I764" s="278"/>
      <c r="J764" s="688" t="s">
        <v>313</v>
      </c>
      <c r="K764" s="740">
        <f>SUM(K765+K780+K783+K862+K863)</f>
        <v>68360</v>
      </c>
      <c r="L764" s="574">
        <f>SUM(L765+L780+L783+L862+L863)</f>
        <v>49888</v>
      </c>
      <c r="M764" s="574">
        <f>SUM(M765+M780+M783+M862+M863)</f>
        <v>46787526</v>
      </c>
      <c r="N764" s="832"/>
      <c r="O764" s="609"/>
      <c r="P764" s="207"/>
      <c r="Q764" s="247"/>
      <c r="R764" s="298"/>
      <c r="S764" s="247"/>
      <c r="T764" s="247"/>
      <c r="U764" s="247"/>
      <c r="V764" s="247"/>
      <c r="W764" s="247"/>
      <c r="X764" s="247"/>
      <c r="Y764" s="247"/>
      <c r="Z764" s="247"/>
      <c r="AA764" s="247"/>
    </row>
    <row r="765" spans="1:27" ht="16.5" thickBot="1">
      <c r="A765" s="396"/>
      <c r="B765" s="280"/>
      <c r="C765" s="281"/>
      <c r="D765" s="281"/>
      <c r="E765" s="281"/>
      <c r="F765" s="281"/>
      <c r="G765" s="281"/>
      <c r="H765" s="693">
        <v>600</v>
      </c>
      <c r="I765" s="283"/>
      <c r="J765" s="284" t="s">
        <v>314</v>
      </c>
      <c r="K765" s="285">
        <f>SUM(K766+K767+K768+K769+K770+K771+K772+K773+K774+K775+K776+K777+K778+K779)</f>
        <v>41700</v>
      </c>
      <c r="L765" s="285">
        <f>L766+L776+L779</f>
        <v>28448</v>
      </c>
      <c r="M765" s="719">
        <f>M766+M776+M779</f>
        <v>25647841</v>
      </c>
      <c r="N765" s="833"/>
      <c r="O765" s="609"/>
      <c r="P765" s="207"/>
      <c r="Q765" s="247"/>
      <c r="R765" s="209"/>
      <c r="S765" s="247"/>
      <c r="T765" s="247"/>
      <c r="U765" s="247"/>
      <c r="V765" s="298"/>
      <c r="W765" s="247"/>
      <c r="X765" s="247"/>
      <c r="Y765" s="247"/>
      <c r="Z765" s="247"/>
      <c r="AA765" s="247"/>
    </row>
    <row r="766" spans="1:27">
      <c r="A766" s="396"/>
      <c r="B766" s="287"/>
      <c r="C766" s="288"/>
      <c r="D766" s="288"/>
      <c r="E766" s="288"/>
      <c r="F766" s="288"/>
      <c r="G766" s="288"/>
      <c r="H766" s="289"/>
      <c r="I766" s="290">
        <v>600.1</v>
      </c>
      <c r="J766" s="696" t="s">
        <v>315</v>
      </c>
      <c r="K766" s="817">
        <v>41700</v>
      </c>
      <c r="L766" s="747">
        <v>28448</v>
      </c>
      <c r="M766" s="932">
        <f>SUM(M767:M771)</f>
        <v>25598841</v>
      </c>
      <c r="N766" s="834"/>
      <c r="O766" s="298"/>
      <c r="P766" s="298"/>
      <c r="Q766" s="247"/>
      <c r="R766" s="209"/>
      <c r="S766" s="247"/>
      <c r="T766" s="247"/>
      <c r="U766" s="247"/>
      <c r="V766" s="247"/>
      <c r="W766" s="247"/>
      <c r="X766" s="209"/>
      <c r="Y766" s="209"/>
      <c r="Z766" s="209"/>
      <c r="AA766" s="209"/>
    </row>
    <row r="767" spans="1:27">
      <c r="A767" s="396"/>
      <c r="B767" s="292"/>
      <c r="C767" s="293"/>
      <c r="D767" s="293"/>
      <c r="E767" s="293"/>
      <c r="F767" s="293"/>
      <c r="G767" s="293"/>
      <c r="H767" s="294"/>
      <c r="I767" s="295">
        <v>600.1001</v>
      </c>
      <c r="J767" s="697" t="s">
        <v>316</v>
      </c>
      <c r="K767" s="297"/>
      <c r="L767" s="782"/>
      <c r="M767" s="933">
        <v>18825500</v>
      </c>
      <c r="N767" s="749"/>
      <c r="O767" s="298"/>
      <c r="P767" s="247"/>
      <c r="Q767" s="247"/>
      <c r="R767" s="209"/>
      <c r="S767" s="286"/>
      <c r="T767" s="286"/>
      <c r="U767" s="286"/>
      <c r="V767" s="298"/>
      <c r="W767" s="209"/>
      <c r="X767" s="247"/>
      <c r="Y767" s="247"/>
      <c r="Z767" s="247"/>
      <c r="AA767" s="247"/>
    </row>
    <row r="768" spans="1:27">
      <c r="A768" s="396"/>
      <c r="B768" s="292"/>
      <c r="C768" s="293"/>
      <c r="D768" s="293"/>
      <c r="E768" s="293"/>
      <c r="F768" s="293"/>
      <c r="G768" s="293"/>
      <c r="H768" s="294"/>
      <c r="I768" s="295">
        <v>600.10019999999997</v>
      </c>
      <c r="J768" s="697" t="s">
        <v>317</v>
      </c>
      <c r="K768" s="297"/>
      <c r="L768" s="782"/>
      <c r="M768" s="933">
        <v>14978</v>
      </c>
      <c r="N768" s="749"/>
      <c r="O768" s="298"/>
      <c r="P768" s="247"/>
      <c r="Q768" s="247"/>
      <c r="R768" s="718"/>
      <c r="S768" s="247"/>
      <c r="T768" s="247"/>
      <c r="U768" s="247"/>
      <c r="V768" s="298"/>
      <c r="W768" s="247"/>
      <c r="X768" s="247"/>
      <c r="Y768" s="247"/>
      <c r="Z768" s="247"/>
      <c r="AA768" s="247"/>
    </row>
    <row r="769" spans="1:27">
      <c r="A769" s="396"/>
      <c r="B769" s="292"/>
      <c r="C769" s="293"/>
      <c r="D769" s="293"/>
      <c r="E769" s="293"/>
      <c r="F769" s="293"/>
      <c r="G769" s="293"/>
      <c r="H769" s="294"/>
      <c r="I769" s="295">
        <v>600.10029999999995</v>
      </c>
      <c r="J769" s="697" t="s">
        <v>318</v>
      </c>
      <c r="K769" s="297"/>
      <c r="L769" s="782"/>
      <c r="M769" s="933">
        <v>1390771</v>
      </c>
      <c r="N769" s="749"/>
      <c r="O769" s="298"/>
      <c r="P769" s="247"/>
      <c r="Q769" s="247"/>
      <c r="R769" s="247"/>
      <c r="S769" s="247"/>
      <c r="T769" s="247"/>
      <c r="U769" s="247"/>
      <c r="V769" s="298"/>
      <c r="W769" s="247"/>
      <c r="X769" s="247"/>
      <c r="Y769" s="247"/>
      <c r="Z769" s="247"/>
      <c r="AA769" s="247"/>
    </row>
    <row r="770" spans="1:27">
      <c r="A770" s="383"/>
      <c r="B770" s="292"/>
      <c r="C770" s="293"/>
      <c r="D770" s="293"/>
      <c r="E770" s="293"/>
      <c r="F770" s="293"/>
      <c r="G770" s="293"/>
      <c r="H770" s="294"/>
      <c r="I770" s="295">
        <v>600.10050000000001</v>
      </c>
      <c r="J770" s="296" t="s">
        <v>475</v>
      </c>
      <c r="K770" s="297"/>
      <c r="L770" s="782"/>
      <c r="M770" s="933">
        <v>5085968</v>
      </c>
      <c r="N770" s="749"/>
      <c r="O770" s="298"/>
      <c r="P770" s="247"/>
      <c r="Q770" s="718"/>
      <c r="R770" s="718"/>
      <c r="S770" s="247"/>
      <c r="T770" s="247"/>
      <c r="U770" s="247"/>
      <c r="V770" s="247"/>
      <c r="W770" s="247"/>
      <c r="X770" s="247"/>
      <c r="Y770" s="247"/>
      <c r="Z770" s="247"/>
      <c r="AA770" s="247"/>
    </row>
    <row r="771" spans="1:27">
      <c r="A771" s="396"/>
      <c r="B771" s="292"/>
      <c r="C771" s="293"/>
      <c r="D771" s="293"/>
      <c r="E771" s="293"/>
      <c r="F771" s="293"/>
      <c r="G771" s="293"/>
      <c r="H771" s="294"/>
      <c r="I771" s="295"/>
      <c r="J771" s="697" t="s">
        <v>326</v>
      </c>
      <c r="K771" s="297"/>
      <c r="L771" s="766"/>
      <c r="M771" s="933">
        <v>281624</v>
      </c>
      <c r="N771" s="749"/>
      <c r="O771" s="298">
        <f>O778-O777</f>
        <v>14000</v>
      </c>
      <c r="P771" s="247"/>
      <c r="Q771" s="718"/>
      <c r="R771" s="718"/>
      <c r="S771" s="247"/>
      <c r="T771" s="247"/>
      <c r="U771" s="247"/>
      <c r="V771" s="247"/>
      <c r="W771" s="247"/>
      <c r="X771" s="247"/>
      <c r="Y771" s="247"/>
      <c r="Z771" s="247"/>
      <c r="AA771" s="247"/>
    </row>
    <row r="772" spans="1:27">
      <c r="A772" s="396"/>
      <c r="B772" s="299"/>
      <c r="C772" s="293"/>
      <c r="D772" s="293"/>
      <c r="E772" s="293"/>
      <c r="F772" s="293"/>
      <c r="G772" s="293"/>
      <c r="H772" s="294"/>
      <c r="I772" s="295">
        <v>600.20000000000005</v>
      </c>
      <c r="J772" s="697" t="s">
        <v>320</v>
      </c>
      <c r="K772" s="297"/>
      <c r="L772" s="815"/>
      <c r="M772" s="464"/>
      <c r="N772" s="749"/>
      <c r="O772" s="298"/>
      <c r="P772" s="298"/>
      <c r="Q772" s="718"/>
      <c r="R772" s="718"/>
      <c r="S772" s="247"/>
      <c r="T772" s="247"/>
      <c r="U772" s="247"/>
      <c r="V772" s="247"/>
      <c r="W772" s="247"/>
      <c r="X772" s="247"/>
      <c r="Y772" s="247"/>
      <c r="Z772" s="247"/>
      <c r="AA772" s="247"/>
    </row>
    <row r="773" spans="1:27">
      <c r="A773" s="396"/>
      <c r="B773" s="299"/>
      <c r="C773" s="293"/>
      <c r="D773" s="293"/>
      <c r="E773" s="293"/>
      <c r="F773" s="293"/>
      <c r="G773" s="293"/>
      <c r="H773" s="294"/>
      <c r="I773" s="295">
        <v>600.21</v>
      </c>
      <c r="J773" s="697" t="s">
        <v>321</v>
      </c>
      <c r="K773" s="297"/>
      <c r="L773" s="464"/>
      <c r="M773" s="464"/>
      <c r="N773" s="749"/>
      <c r="O773" s="247"/>
      <c r="P773" s="247"/>
      <c r="Q773" s="209"/>
      <c r="R773" s="247"/>
      <c r="S773" s="247"/>
      <c r="T773" s="247"/>
      <c r="U773" s="247"/>
      <c r="V773" s="298"/>
      <c r="W773" s="247"/>
      <c r="X773" s="247"/>
      <c r="Y773" s="247"/>
      <c r="Z773" s="247"/>
      <c r="AA773" s="247"/>
    </row>
    <row r="774" spans="1:27">
      <c r="A774" s="396"/>
      <c r="B774" s="299"/>
      <c r="C774" s="293"/>
      <c r="D774" s="293"/>
      <c r="E774" s="293"/>
      <c r="F774" s="293"/>
      <c r="G774" s="293"/>
      <c r="H774" s="294"/>
      <c r="I774" s="295">
        <v>600.22</v>
      </c>
      <c r="J774" s="697" t="s">
        <v>322</v>
      </c>
      <c r="K774" s="297"/>
      <c r="L774" s="464"/>
      <c r="M774" s="464"/>
      <c r="N774" s="749"/>
      <c r="O774" s="209"/>
      <c r="P774" s="209"/>
      <c r="Q774" s="808"/>
      <c r="R774" s="209"/>
      <c r="S774" s="247"/>
      <c r="T774" s="247"/>
      <c r="U774" s="247"/>
      <c r="V774" s="748"/>
      <c r="W774" s="247"/>
      <c r="X774" s="247"/>
      <c r="Y774" s="247"/>
      <c r="Z774" s="247"/>
      <c r="AA774" s="247"/>
    </row>
    <row r="775" spans="1:27">
      <c r="A775" s="396"/>
      <c r="B775" s="299"/>
      <c r="C775" s="293"/>
      <c r="D775" s="293"/>
      <c r="E775" s="293"/>
      <c r="F775" s="293"/>
      <c r="G775" s="293"/>
      <c r="H775" s="294"/>
      <c r="I775" s="295">
        <v>600.29</v>
      </c>
      <c r="J775" s="697" t="s">
        <v>323</v>
      </c>
      <c r="K775" s="297"/>
      <c r="L775" s="464"/>
      <c r="M775" s="464"/>
      <c r="N775" s="749"/>
      <c r="O775" s="749"/>
      <c r="P775" s="748"/>
      <c r="Q775" s="752"/>
      <c r="R775" s="749"/>
      <c r="S775" s="247"/>
      <c r="T775" s="247"/>
      <c r="U775" s="247"/>
      <c r="V775" s="748"/>
      <c r="W775" s="209"/>
      <c r="X775" s="247"/>
      <c r="Y775" s="247"/>
      <c r="Z775" s="247"/>
      <c r="AA775" s="247"/>
    </row>
    <row r="776" spans="1:27">
      <c r="A776" s="396"/>
      <c r="B776" s="299"/>
      <c r="C776" s="293"/>
      <c r="D776" s="293"/>
      <c r="E776" s="293"/>
      <c r="F776" s="293"/>
      <c r="G776" s="293"/>
      <c r="H776" s="294"/>
      <c r="I776" s="295">
        <v>600.29999999999995</v>
      </c>
      <c r="J776" s="697" t="s">
        <v>324</v>
      </c>
      <c r="K776" s="297"/>
      <c r="L776" s="464"/>
      <c r="M776" s="464">
        <v>49000</v>
      </c>
      <c r="N776" s="749"/>
      <c r="O776" s="247"/>
      <c r="P776" s="247"/>
      <c r="Q776" s="752"/>
      <c r="R776" s="749"/>
      <c r="S776" s="209"/>
      <c r="T776" s="209"/>
      <c r="U776" s="247"/>
      <c r="V776" s="247"/>
      <c r="W776" s="247"/>
      <c r="X776" s="247"/>
      <c r="Y776" s="247"/>
      <c r="Z776" s="247"/>
      <c r="AA776" s="247"/>
    </row>
    <row r="777" spans="1:27">
      <c r="A777" s="396"/>
      <c r="B777" s="299"/>
      <c r="C777" s="293"/>
      <c r="D777" s="293"/>
      <c r="E777" s="293"/>
      <c r="F777" s="293"/>
      <c r="G777" s="293"/>
      <c r="H777" s="294"/>
      <c r="I777" s="295">
        <v>600.30999999999995</v>
      </c>
      <c r="J777" s="697" t="s">
        <v>325</v>
      </c>
      <c r="K777" s="297"/>
      <c r="L777" s="464"/>
      <c r="M777" s="464"/>
      <c r="N777" s="749"/>
      <c r="O777" s="749">
        <v>16970473</v>
      </c>
      <c r="P777" s="748"/>
      <c r="Q777" s="752"/>
      <c r="R777" s="749"/>
      <c r="S777" s="247"/>
      <c r="T777" s="784"/>
      <c r="U777" s="209"/>
      <c r="V777" s="247"/>
      <c r="W777" s="247"/>
      <c r="X777" s="247"/>
      <c r="Y777" s="247"/>
      <c r="Z777" s="247"/>
      <c r="AA777" s="247"/>
    </row>
    <row r="778" spans="1:27" ht="13.5" thickBot="1">
      <c r="A778" s="396"/>
      <c r="B778" s="299"/>
      <c r="C778" s="293"/>
      <c r="D778" s="293"/>
      <c r="E778" s="293"/>
      <c r="F778" s="293"/>
      <c r="G778" s="293"/>
      <c r="H778" s="294"/>
      <c r="I778" s="295"/>
      <c r="J778" s="697" t="s">
        <v>323</v>
      </c>
      <c r="K778" s="297"/>
      <c r="L778" s="465"/>
      <c r="M778" s="934"/>
      <c r="N778" s="749"/>
      <c r="O778" s="749">
        <v>16984473</v>
      </c>
      <c r="P778" s="748"/>
      <c r="Q778" s="752"/>
      <c r="R778" s="749"/>
      <c r="S778" s="247"/>
      <c r="T778" s="784"/>
      <c r="U778" s="209"/>
      <c r="V778" s="247"/>
      <c r="W778" s="247"/>
      <c r="X778" s="247"/>
      <c r="Y778" s="247"/>
      <c r="Z778" s="247"/>
      <c r="AA778" s="247"/>
    </row>
    <row r="779" spans="1:27" ht="13.5" thickBot="1">
      <c r="A779" s="396"/>
      <c r="B779" s="300"/>
      <c r="C779" s="301"/>
      <c r="D779" s="301"/>
      <c r="E779" s="301"/>
      <c r="F779" s="301"/>
      <c r="G779" s="301"/>
      <c r="H779" s="302"/>
      <c r="I779" s="303">
        <v>600.9</v>
      </c>
      <c r="J779" s="304" t="s">
        <v>437</v>
      </c>
      <c r="K779" s="305"/>
      <c r="L779" s="810"/>
      <c r="M779" s="931"/>
      <c r="N779" s="836"/>
      <c r="O779" s="749"/>
      <c r="P779" s="748"/>
      <c r="Q779" s="752"/>
      <c r="R779" s="807"/>
      <c r="S779" s="298"/>
      <c r="T779" s="298"/>
      <c r="U779" s="298"/>
      <c r="V779" s="786"/>
      <c r="W779" s="247"/>
      <c r="X779" s="247"/>
      <c r="Y779" s="247"/>
      <c r="Z779" s="247"/>
      <c r="AA779" s="247"/>
    </row>
    <row r="780" spans="1:27" ht="13.5" thickBot="1">
      <c r="A780" s="396"/>
      <c r="B780" s="280"/>
      <c r="C780" s="281"/>
      <c r="D780" s="281"/>
      <c r="E780" s="281"/>
      <c r="F780" s="281"/>
      <c r="G780" s="281"/>
      <c r="H780" s="693">
        <v>601</v>
      </c>
      <c r="I780" s="283"/>
      <c r="J780" s="284" t="s">
        <v>328</v>
      </c>
      <c r="K780" s="820">
        <v>6660</v>
      </c>
      <c r="L780" s="285">
        <f>SUM(L781:L782)</f>
        <v>4440</v>
      </c>
      <c r="M780" s="719">
        <f>SUM(M781+M782)</f>
        <v>4170212</v>
      </c>
      <c r="N780" s="836"/>
      <c r="O780" s="749"/>
      <c r="P780" s="247"/>
      <c r="Q780" s="286"/>
      <c r="R780" s="298"/>
      <c r="S780" s="298"/>
      <c r="T780" s="786"/>
      <c r="U780" s="247"/>
      <c r="V780" s="247"/>
      <c r="W780" s="247"/>
      <c r="X780" s="247"/>
      <c r="Y780" s="247"/>
      <c r="Z780" s="247"/>
      <c r="AA780" s="247"/>
    </row>
    <row r="781" spans="1:27">
      <c r="A781" s="396"/>
      <c r="B781" s="306"/>
      <c r="C781" s="307"/>
      <c r="D781" s="307"/>
      <c r="E781" s="307"/>
      <c r="F781" s="307"/>
      <c r="G781" s="307"/>
      <c r="H781" s="308"/>
      <c r="I781" s="309">
        <v>601.01</v>
      </c>
      <c r="J781" s="696" t="s">
        <v>329</v>
      </c>
      <c r="K781" s="821">
        <v>6660</v>
      </c>
      <c r="L781" s="817">
        <v>4440</v>
      </c>
      <c r="M781" s="819">
        <v>3745838</v>
      </c>
      <c r="N781" s="834"/>
      <c r="O781" s="247"/>
      <c r="P781" s="319"/>
      <c r="Q781" s="753"/>
      <c r="R781" s="209"/>
      <c r="S781" s="298"/>
      <c r="T781" s="790"/>
      <c r="U781" s="247"/>
      <c r="V781" s="247"/>
      <c r="W781" s="209"/>
      <c r="X781" s="209"/>
      <c r="Y781" s="209"/>
      <c r="Z781" s="209"/>
      <c r="AA781" s="209"/>
    </row>
    <row r="782" spans="1:27" ht="13.5" thickBot="1">
      <c r="A782" s="396"/>
      <c r="B782" s="300"/>
      <c r="C782" s="301"/>
      <c r="D782" s="301"/>
      <c r="E782" s="301"/>
      <c r="F782" s="301"/>
      <c r="G782" s="301"/>
      <c r="H782" s="302"/>
      <c r="I782" s="311">
        <v>601.11</v>
      </c>
      <c r="J782" s="698" t="s">
        <v>330</v>
      </c>
      <c r="K782" s="312"/>
      <c r="L782" s="467"/>
      <c r="M782" s="819">
        <v>424374</v>
      </c>
      <c r="N782" s="749"/>
      <c r="O782" s="812">
        <v>370042</v>
      </c>
      <c r="P782" s="247">
        <v>3265082</v>
      </c>
      <c r="Q782" s="298"/>
      <c r="R782" s="247"/>
      <c r="S782" s="298"/>
      <c r="T782" s="790"/>
      <c r="V782" s="247"/>
      <c r="W782" s="247"/>
      <c r="X782" s="247"/>
      <c r="Y782" s="247"/>
      <c r="Z782" s="247"/>
      <c r="AA782" s="247"/>
    </row>
    <row r="783" spans="1:27" ht="13.5" thickBot="1">
      <c r="A783" s="396"/>
      <c r="B783" s="313"/>
      <c r="C783" s="314"/>
      <c r="D783" s="314"/>
      <c r="E783" s="314"/>
      <c r="F783" s="314"/>
      <c r="G783" s="314"/>
      <c r="H783" s="693">
        <v>602</v>
      </c>
      <c r="I783" s="316"/>
      <c r="J783" s="284" t="s">
        <v>170</v>
      </c>
      <c r="K783" s="285">
        <f>SUM(K784+K791+K804+K819+K824+K827+K836+K842+K849+K852)</f>
        <v>20000</v>
      </c>
      <c r="L783" s="285">
        <f>SUM(L784+L791+L804+L819+L824+L827+L836+L842+L849+L852)</f>
        <v>17000</v>
      </c>
      <c r="M783" s="285">
        <f>SUM(M784+M791+M804+M819+M824+M827+M836+M842+M849+M852)</f>
        <v>16969473</v>
      </c>
      <c r="N783" s="749"/>
      <c r="O783" s="812">
        <v>54331</v>
      </c>
      <c r="P783" s="247">
        <v>480757</v>
      </c>
      <c r="Q783" s="793"/>
      <c r="R783" s="247"/>
      <c r="S783" s="247"/>
      <c r="T783" s="247"/>
      <c r="U783" s="247"/>
      <c r="V783" s="247"/>
      <c r="W783" s="247"/>
      <c r="X783" s="247"/>
      <c r="Y783" s="247"/>
      <c r="Z783" s="247"/>
      <c r="AA783" s="247"/>
    </row>
    <row r="784" spans="1:27" ht="13.5" thickBot="1">
      <c r="A784" s="396"/>
      <c r="B784" s="320"/>
      <c r="C784" s="321"/>
      <c r="D784" s="321"/>
      <c r="E784" s="321"/>
      <c r="F784" s="321"/>
      <c r="G784" s="321"/>
      <c r="H784" s="322"/>
      <c r="I784" s="323">
        <v>6020</v>
      </c>
      <c r="J784" s="324" t="s">
        <v>331</v>
      </c>
      <c r="K784" s="822">
        <v>20000</v>
      </c>
      <c r="L784" s="822">
        <v>17000</v>
      </c>
      <c r="M784" s="476">
        <f>SUM(M785+M786+M787+M788+M789+M790)</f>
        <v>1478220</v>
      </c>
      <c r="N784" s="837"/>
      <c r="O784" s="762">
        <f>SUM(O782:O783)</f>
        <v>424373</v>
      </c>
      <c r="P784" s="319">
        <f>SUM(P782:P783)</f>
        <v>3745839</v>
      </c>
      <c r="Q784" s="806"/>
      <c r="R784" s="319"/>
      <c r="T784" s="319"/>
      <c r="U784" s="298"/>
      <c r="V784" s="298"/>
      <c r="W784" s="247"/>
      <c r="X784" s="247"/>
      <c r="Y784" s="319"/>
      <c r="Z784" s="319"/>
      <c r="AA784" s="319"/>
    </row>
    <row r="785" spans="1:24">
      <c r="A785" s="383"/>
      <c r="B785" s="332"/>
      <c r="C785" s="333"/>
      <c r="D785" s="333"/>
      <c r="E785" s="333"/>
      <c r="F785" s="333"/>
      <c r="G785" s="333"/>
      <c r="H785" s="334"/>
      <c r="I785" s="335" t="s">
        <v>11</v>
      </c>
      <c r="J785" s="336" t="s">
        <v>172</v>
      </c>
      <c r="K785" s="337"/>
      <c r="L785" s="469"/>
      <c r="M785" s="469">
        <v>383600</v>
      </c>
      <c r="N785" s="838"/>
      <c r="P785" s="247"/>
      <c r="Q785" s="799"/>
      <c r="V785" s="298"/>
      <c r="W785" s="247"/>
      <c r="X785" s="247"/>
    </row>
    <row r="786" spans="1:24">
      <c r="A786" s="396"/>
      <c r="B786" s="352"/>
      <c r="C786" s="353"/>
      <c r="D786" s="353"/>
      <c r="E786" s="353"/>
      <c r="F786" s="353"/>
      <c r="G786" s="353"/>
      <c r="H786" s="354"/>
      <c r="I786" s="360">
        <v>602.02</v>
      </c>
      <c r="J786" s="361" t="s">
        <v>332</v>
      </c>
      <c r="K786" s="357"/>
      <c r="L786" s="473"/>
      <c r="M786" s="473">
        <v>169440</v>
      </c>
      <c r="N786" s="800"/>
      <c r="P786" s="209"/>
      <c r="Q786" s="800"/>
      <c r="V786" s="298"/>
      <c r="W786" s="247"/>
      <c r="X786" s="247"/>
    </row>
    <row r="787" spans="1:24">
      <c r="A787" s="396"/>
      <c r="B787" s="339"/>
      <c r="C787" s="340"/>
      <c r="D787" s="340"/>
      <c r="E787" s="340"/>
      <c r="F787" s="340"/>
      <c r="G787" s="340"/>
      <c r="H787" s="150"/>
      <c r="I787" s="341">
        <v>602.03</v>
      </c>
      <c r="J787" s="342" t="s">
        <v>467</v>
      </c>
      <c r="K787" s="343"/>
      <c r="L787" s="470"/>
      <c r="M787" s="470">
        <f>357000</f>
        <v>357000</v>
      </c>
      <c r="N787" s="800"/>
      <c r="Q787" s="800"/>
    </row>
    <row r="788" spans="1:24">
      <c r="A788" s="397"/>
      <c r="B788" s="339"/>
      <c r="C788" s="340"/>
      <c r="D788" s="340"/>
      <c r="E788" s="340"/>
      <c r="F788" s="340"/>
      <c r="G788" s="340"/>
      <c r="H788" s="150"/>
      <c r="I788" s="341">
        <v>602.04</v>
      </c>
      <c r="J788" s="342" t="s">
        <v>334</v>
      </c>
      <c r="K788" s="343"/>
      <c r="L788" s="470"/>
      <c r="M788" s="470"/>
      <c r="N788" s="800"/>
      <c r="O788" s="209">
        <v>535088</v>
      </c>
      <c r="Q788" s="800"/>
    </row>
    <row r="789" spans="1:24">
      <c r="A789" s="163"/>
      <c r="B789" s="339"/>
      <c r="C789" s="340"/>
      <c r="D789" s="340"/>
      <c r="E789" s="340"/>
      <c r="F789" s="340"/>
      <c r="G789" s="340"/>
      <c r="H789" s="150"/>
      <c r="I789" s="341">
        <v>602.04999999999995</v>
      </c>
      <c r="J789" s="342" t="s">
        <v>476</v>
      </c>
      <c r="K789" s="343"/>
      <c r="L789" s="470"/>
      <c r="M789" s="470">
        <f>354600+35500</f>
        <v>390100</v>
      </c>
      <c r="N789" s="800"/>
      <c r="O789" s="748">
        <v>-54331</v>
      </c>
      <c r="Q789" s="800"/>
    </row>
    <row r="790" spans="1:24" ht="13.5" thickBot="1">
      <c r="A790" s="163"/>
      <c r="B790" s="345"/>
      <c r="C790" s="346"/>
      <c r="D790" s="346"/>
      <c r="E790" s="346"/>
      <c r="F790" s="346"/>
      <c r="G790" s="346"/>
      <c r="H790" s="164"/>
      <c r="I790" s="347">
        <v>602.09</v>
      </c>
      <c r="J790" s="348" t="s">
        <v>498</v>
      </c>
      <c r="K790" s="349"/>
      <c r="L790" s="471"/>
      <c r="M790" s="471">
        <v>178080</v>
      </c>
      <c r="N790" s="800"/>
      <c r="O790" s="209">
        <f>SUM(O788:O789)</f>
        <v>480757</v>
      </c>
      <c r="Q790" s="800"/>
    </row>
    <row r="791" spans="1:24" ht="13.5" thickBot="1">
      <c r="A791" s="163"/>
      <c r="B791" s="320"/>
      <c r="C791" s="321"/>
      <c r="D791" s="321"/>
      <c r="E791" s="321"/>
      <c r="F791" s="321"/>
      <c r="G791" s="321"/>
      <c r="H791" s="322"/>
      <c r="I791" s="323">
        <v>602.1</v>
      </c>
      <c r="J791" s="324" t="s">
        <v>336</v>
      </c>
      <c r="K791" s="351">
        <f>SUM(K792+K793+K794+K795+K796+K797+K798+K799+K800+K801+K802+K803)</f>
        <v>0</v>
      </c>
      <c r="L791" s="472">
        <f>SUM(L792+L793+L794+L795+L796+L797+L798+L799+L800+L801+L802+L803)</f>
        <v>0</v>
      </c>
      <c r="M791" s="472">
        <f>SUM(M792+M793+M794+M795+M796+M797+M798+M799+M800+M801+M802+M803)</f>
        <v>1176489</v>
      </c>
      <c r="N791" s="800"/>
      <c r="P791" s="247"/>
      <c r="Q791" s="800"/>
    </row>
    <row r="792" spans="1:24">
      <c r="A792" s="163"/>
      <c r="B792" s="352"/>
      <c r="C792" s="353"/>
      <c r="D792" s="353"/>
      <c r="E792" s="353"/>
      <c r="F792" s="353"/>
      <c r="G792" s="353"/>
      <c r="H792" s="354"/>
      <c r="I792" s="355">
        <v>602.1001</v>
      </c>
      <c r="J792" s="699" t="s">
        <v>337</v>
      </c>
      <c r="K792" s="357"/>
      <c r="L792" s="473"/>
      <c r="M792" s="473"/>
      <c r="N792" s="801"/>
      <c r="P792" s="247"/>
      <c r="Q792" s="801"/>
    </row>
    <row r="793" spans="1:24">
      <c r="A793" s="163"/>
      <c r="B793" s="339"/>
      <c r="C793" s="340"/>
      <c r="D793" s="340"/>
      <c r="E793" s="340"/>
      <c r="F793" s="340"/>
      <c r="G793" s="340"/>
      <c r="H793" s="150"/>
      <c r="I793" s="358">
        <v>602.10019999999997</v>
      </c>
      <c r="J793" s="700" t="s">
        <v>338</v>
      </c>
      <c r="K793" s="343"/>
      <c r="L793" s="470"/>
      <c r="M793" s="470"/>
      <c r="N793" s="800"/>
      <c r="P793" s="247"/>
      <c r="Q793" s="800"/>
    </row>
    <row r="794" spans="1:24">
      <c r="A794" s="163"/>
      <c r="B794" s="339"/>
      <c r="C794" s="340"/>
      <c r="D794" s="340"/>
      <c r="E794" s="340"/>
      <c r="F794" s="340"/>
      <c r="G794" s="340"/>
      <c r="H794" s="150"/>
      <c r="I794" s="358">
        <v>602.10029999999995</v>
      </c>
      <c r="J794" s="700" t="s">
        <v>339</v>
      </c>
      <c r="K794" s="343"/>
      <c r="L794" s="470"/>
      <c r="M794" s="470"/>
      <c r="N794" s="800"/>
      <c r="P794" s="247"/>
      <c r="Q794" s="800"/>
    </row>
    <row r="795" spans="1:24">
      <c r="A795" s="163"/>
      <c r="B795" s="339"/>
      <c r="C795" s="340"/>
      <c r="D795" s="340"/>
      <c r="E795" s="340"/>
      <c r="F795" s="340"/>
      <c r="G795" s="340"/>
      <c r="H795" s="150"/>
      <c r="I795" s="358">
        <v>602.10040000000004</v>
      </c>
      <c r="J795" s="700" t="s">
        <v>340</v>
      </c>
      <c r="K795" s="343"/>
      <c r="L795" s="470"/>
      <c r="M795" s="470"/>
      <c r="N795" s="800"/>
      <c r="Q795" s="800"/>
    </row>
    <row r="796" spans="1:24">
      <c r="A796" s="163"/>
      <c r="B796" s="339"/>
      <c r="C796" s="340"/>
      <c r="D796" s="340"/>
      <c r="E796" s="340"/>
      <c r="F796" s="340"/>
      <c r="G796" s="340"/>
      <c r="H796" s="150"/>
      <c r="I796" s="358">
        <v>602.10050000000001</v>
      </c>
      <c r="J796" s="700" t="s">
        <v>341</v>
      </c>
      <c r="K796" s="343"/>
      <c r="L796" s="470"/>
      <c r="M796" s="470"/>
      <c r="N796" s="800"/>
      <c r="Q796" s="800"/>
    </row>
    <row r="797" spans="1:24">
      <c r="A797" s="163"/>
      <c r="B797" s="339"/>
      <c r="C797" s="340"/>
      <c r="D797" s="340"/>
      <c r="E797" s="340"/>
      <c r="F797" s="340"/>
      <c r="G797" s="340"/>
      <c r="H797" s="150"/>
      <c r="I797" s="358">
        <v>602.10059999999999</v>
      </c>
      <c r="J797" s="700" t="s">
        <v>342</v>
      </c>
      <c r="K797" s="343"/>
      <c r="L797" s="470"/>
      <c r="M797" s="470"/>
      <c r="N797" s="800"/>
      <c r="Q797" s="800"/>
    </row>
    <row r="798" spans="1:24">
      <c r="A798" s="163"/>
      <c r="B798" s="339"/>
      <c r="C798" s="340"/>
      <c r="D798" s="340"/>
      <c r="E798" s="340"/>
      <c r="F798" s="340"/>
      <c r="G798" s="340"/>
      <c r="H798" s="150"/>
      <c r="I798" s="358">
        <v>602.10069999999996</v>
      </c>
      <c r="J798" s="700" t="s">
        <v>469</v>
      </c>
      <c r="K798" s="343"/>
      <c r="L798" s="470"/>
      <c r="M798" s="470">
        <v>395000</v>
      </c>
      <c r="N798" s="800"/>
      <c r="Q798" s="800"/>
    </row>
    <row r="799" spans="1:24">
      <c r="A799" s="163"/>
      <c r="B799" s="339"/>
      <c r="C799" s="340"/>
      <c r="D799" s="340"/>
      <c r="E799" s="340"/>
      <c r="F799" s="340"/>
      <c r="G799" s="340"/>
      <c r="H799" s="150"/>
      <c r="I799" s="358">
        <v>602.10080000000005</v>
      </c>
      <c r="J799" s="700" t="s">
        <v>343</v>
      </c>
      <c r="K799" s="343"/>
      <c r="L799" s="470"/>
      <c r="M799" s="470"/>
      <c r="N799" s="800"/>
      <c r="Q799" s="800"/>
    </row>
    <row r="800" spans="1:24">
      <c r="A800" s="163"/>
      <c r="B800" s="339"/>
      <c r="C800" s="340"/>
      <c r="D800" s="340"/>
      <c r="E800" s="340"/>
      <c r="F800" s="340"/>
      <c r="G800" s="340"/>
      <c r="H800" s="150"/>
      <c r="I800" s="358">
        <v>602.10090000000002</v>
      </c>
      <c r="J800" s="700" t="s">
        <v>344</v>
      </c>
      <c r="K800" s="344"/>
      <c r="L800" s="474"/>
      <c r="M800" s="474"/>
      <c r="N800" s="800"/>
      <c r="Q800" s="800"/>
    </row>
    <row r="801" spans="1:20">
      <c r="A801" s="163"/>
      <c r="B801" s="339"/>
      <c r="C801" s="340"/>
      <c r="D801" s="340"/>
      <c r="E801" s="340"/>
      <c r="F801" s="340"/>
      <c r="G801" s="340"/>
      <c r="H801" s="150"/>
      <c r="I801" s="358">
        <v>602.101</v>
      </c>
      <c r="J801" s="700" t="s">
        <v>345</v>
      </c>
      <c r="K801" s="344"/>
      <c r="L801" s="474"/>
      <c r="M801" s="474"/>
      <c r="N801" s="802"/>
      <c r="Q801" s="802"/>
    </row>
    <row r="802" spans="1:20">
      <c r="A802" s="163"/>
      <c r="B802" s="339"/>
      <c r="C802" s="340"/>
      <c r="D802" s="340"/>
      <c r="E802" s="340"/>
      <c r="F802" s="340"/>
      <c r="G802" s="340"/>
      <c r="H802" s="150"/>
      <c r="I802" s="341">
        <v>602.10109999999997</v>
      </c>
      <c r="J802" s="700" t="s">
        <v>490</v>
      </c>
      <c r="K802" s="344"/>
      <c r="L802" s="474"/>
      <c r="M802" s="474">
        <v>244776</v>
      </c>
      <c r="N802" s="802"/>
      <c r="Q802" s="802"/>
    </row>
    <row r="803" spans="1:20" ht="13.5" thickBot="1">
      <c r="A803" s="163"/>
      <c r="B803" s="367"/>
      <c r="C803" s="368"/>
      <c r="D803" s="368"/>
      <c r="E803" s="368"/>
      <c r="F803" s="368"/>
      <c r="G803" s="368"/>
      <c r="H803" s="369"/>
      <c r="I803" s="370">
        <v>602.10990000000004</v>
      </c>
      <c r="J803" s="701" t="s">
        <v>468</v>
      </c>
      <c r="K803" s="378"/>
      <c r="L803" s="475"/>
      <c r="M803" s="475">
        <f>805720-395000+43850+241800-159657</f>
        <v>536713</v>
      </c>
      <c r="N803" s="802"/>
      <c r="Q803" s="802"/>
    </row>
    <row r="804" spans="1:20" ht="13.5" thickBot="1">
      <c r="A804" s="163"/>
      <c r="B804" s="320"/>
      <c r="C804" s="321"/>
      <c r="D804" s="321"/>
      <c r="E804" s="321"/>
      <c r="F804" s="321"/>
      <c r="G804" s="321"/>
      <c r="H804" s="322"/>
      <c r="I804" s="323">
        <v>602.20000000000005</v>
      </c>
      <c r="J804" s="324" t="s">
        <v>348</v>
      </c>
      <c r="K804" s="351">
        <f>SUM(K805+K806+K807+K808+K809+K810+K811+K812+K813+K814+K815+K816+K817+K818)</f>
        <v>0</v>
      </c>
      <c r="L804" s="722">
        <f>SUM(L805+L806+L807+L810+L811+L812+L813+L814+L815+L816+L817+L818)</f>
        <v>0</v>
      </c>
      <c r="M804" s="722">
        <f>SUM(M805+M806+M807+M810+M811+M812+M813+M814+M815+M816+M817+M818)</f>
        <v>2851557</v>
      </c>
      <c r="N804" s="802"/>
      <c r="Q804" s="802"/>
    </row>
    <row r="805" spans="1:20">
      <c r="A805" s="163"/>
      <c r="B805" s="352"/>
      <c r="C805" s="353"/>
      <c r="D805" s="353"/>
      <c r="E805" s="353"/>
      <c r="F805" s="353"/>
      <c r="G805" s="353"/>
      <c r="H805" s="354"/>
      <c r="I805" s="360">
        <v>602.20010000000002</v>
      </c>
      <c r="J805" s="361" t="s">
        <v>192</v>
      </c>
      <c r="K805" s="362"/>
      <c r="L805" s="755"/>
      <c r="M805" s="755">
        <f>780169+142748</f>
        <v>922917</v>
      </c>
      <c r="N805" s="799"/>
      <c r="Q805" s="799"/>
    </row>
    <row r="806" spans="1:20">
      <c r="A806" s="163"/>
      <c r="B806" s="339"/>
      <c r="C806" s="340"/>
      <c r="D806" s="340"/>
      <c r="E806" s="340"/>
      <c r="F806" s="340"/>
      <c r="G806" s="340"/>
      <c r="H806" s="150"/>
      <c r="I806" s="341">
        <v>602.2002</v>
      </c>
      <c r="J806" s="342" t="s">
        <v>349</v>
      </c>
      <c r="K806" s="344"/>
      <c r="L806" s="474">
        <v>0</v>
      </c>
      <c r="M806" s="474">
        <v>0</v>
      </c>
      <c r="N806" s="803"/>
      <c r="Q806" s="803"/>
    </row>
    <row r="807" spans="1:20">
      <c r="A807" s="163"/>
      <c r="B807" s="339"/>
      <c r="C807" s="340"/>
      <c r="D807" s="340"/>
      <c r="E807" s="340"/>
      <c r="F807" s="340"/>
      <c r="G807" s="340"/>
      <c r="H807" s="150"/>
      <c r="I807" s="341">
        <v>602.20029999999997</v>
      </c>
      <c r="J807" s="342" t="s">
        <v>350</v>
      </c>
      <c r="K807" s="344"/>
      <c r="L807" s="478">
        <f>L808+L809</f>
        <v>0</v>
      </c>
      <c r="M807" s="478">
        <f>M808+M809</f>
        <v>554493</v>
      </c>
      <c r="N807" s="802"/>
      <c r="Q807" s="802"/>
    </row>
    <row r="808" spans="1:20">
      <c r="A808" s="163"/>
      <c r="B808" s="339"/>
      <c r="C808" s="340"/>
      <c r="D808" s="340"/>
      <c r="E808" s="340"/>
      <c r="F808" s="340"/>
      <c r="G808" s="340"/>
      <c r="H808" s="150"/>
      <c r="I808" s="341"/>
      <c r="J808" s="906" t="s">
        <v>473</v>
      </c>
      <c r="K808" s="344"/>
      <c r="L808" s="764"/>
      <c r="M808" s="908">
        <f>306412+44000+23071+12000+19010</f>
        <v>404493</v>
      </c>
      <c r="N808" s="804"/>
      <c r="Q808" s="804"/>
    </row>
    <row r="809" spans="1:20">
      <c r="A809" s="163"/>
      <c r="B809" s="339"/>
      <c r="C809" s="340"/>
      <c r="D809" s="340"/>
      <c r="E809" s="340"/>
      <c r="F809" s="340"/>
      <c r="G809" s="340"/>
      <c r="H809" s="150"/>
      <c r="I809" s="341"/>
      <c r="J809" s="907" t="s">
        <v>474</v>
      </c>
      <c r="K809" s="344"/>
      <c r="L809" s="765"/>
      <c r="M809" s="909">
        <v>150000</v>
      </c>
      <c r="N809" s="750"/>
      <c r="P809" s="750"/>
      <c r="Q809" s="750"/>
    </row>
    <row r="810" spans="1:20">
      <c r="A810" s="163"/>
      <c r="B810" s="339"/>
      <c r="C810" s="340"/>
      <c r="D810" s="340"/>
      <c r="E810" s="340"/>
      <c r="F810" s="340"/>
      <c r="G810" s="340"/>
      <c r="H810" s="150"/>
      <c r="I810" s="341">
        <v>602.20039999999995</v>
      </c>
      <c r="J810" s="342" t="s">
        <v>351</v>
      </c>
      <c r="K810" s="344"/>
      <c r="L810" s="754"/>
      <c r="M810" s="754">
        <f>243570+29070</f>
        <v>272640</v>
      </c>
      <c r="N810" s="751"/>
      <c r="P810" s="751"/>
      <c r="Q810" s="751"/>
    </row>
    <row r="811" spans="1:20">
      <c r="A811" s="163"/>
      <c r="B811" s="339"/>
      <c r="C811" s="340"/>
      <c r="D811" s="340"/>
      <c r="E811" s="340"/>
      <c r="F811" s="340"/>
      <c r="G811" s="340"/>
      <c r="H811" s="150"/>
      <c r="I811" s="341">
        <v>602.20050000000003</v>
      </c>
      <c r="J811" s="342" t="s">
        <v>352</v>
      </c>
      <c r="K811" s="344"/>
      <c r="L811" s="474"/>
      <c r="M811" s="474">
        <v>250720</v>
      </c>
      <c r="N811" s="383"/>
      <c r="Q811" s="703"/>
    </row>
    <row r="812" spans="1:20">
      <c r="A812" s="163"/>
      <c r="B812" s="339"/>
      <c r="C812" s="340"/>
      <c r="D812" s="340"/>
      <c r="E812" s="340"/>
      <c r="F812" s="340"/>
      <c r="G812" s="340"/>
      <c r="H812" s="150"/>
      <c r="I812" s="341">
        <v>602.20060000000001</v>
      </c>
      <c r="J812" s="342" t="s">
        <v>353</v>
      </c>
      <c r="K812" s="344"/>
      <c r="L812" s="474"/>
      <c r="M812" s="474"/>
      <c r="N812" s="802"/>
      <c r="O812" s="512"/>
      <c r="P812" s="512"/>
      <c r="Q812" s="802"/>
      <c r="S812" s="512"/>
      <c r="T812" s="512"/>
    </row>
    <row r="813" spans="1:20">
      <c r="A813" s="163"/>
      <c r="B813" s="339"/>
      <c r="C813" s="340"/>
      <c r="D813" s="340"/>
      <c r="E813" s="340"/>
      <c r="F813" s="340"/>
      <c r="G813" s="340"/>
      <c r="H813" s="150"/>
      <c r="I813" s="341">
        <v>602.20069999999998</v>
      </c>
      <c r="J813" s="342" t="s">
        <v>354</v>
      </c>
      <c r="K813" s="344"/>
      <c r="L813" s="783"/>
      <c r="M813" s="783">
        <v>200</v>
      </c>
      <c r="N813" s="802"/>
      <c r="O813" s="512"/>
      <c r="P813" s="512"/>
      <c r="Q813" s="802"/>
    </row>
    <row r="814" spans="1:20">
      <c r="A814" s="163"/>
      <c r="B814" s="339"/>
      <c r="C814" s="340"/>
      <c r="D814" s="340"/>
      <c r="E814" s="340"/>
      <c r="F814" s="340"/>
      <c r="G814" s="340"/>
      <c r="H814" s="150"/>
      <c r="I814" s="341">
        <v>602.20079999999996</v>
      </c>
      <c r="J814" s="342" t="s">
        <v>355</v>
      </c>
      <c r="K814" s="344"/>
      <c r="L814" s="474"/>
      <c r="M814" s="474">
        <f>430386+142386</f>
        <v>572772</v>
      </c>
      <c r="N814" s="802"/>
      <c r="O814" s="512"/>
      <c r="P814" s="512"/>
      <c r="Q814" s="802"/>
    </row>
    <row r="815" spans="1:20">
      <c r="A815" s="163"/>
      <c r="B815" s="339"/>
      <c r="C815" s="340"/>
      <c r="D815" s="340"/>
      <c r="E815" s="340"/>
      <c r="F815" s="340"/>
      <c r="G815" s="340"/>
      <c r="H815" s="150"/>
      <c r="I815" s="341">
        <v>602.20090000000005</v>
      </c>
      <c r="J815" s="342" t="s">
        <v>356</v>
      </c>
      <c r="K815" s="344"/>
      <c r="L815" s="474"/>
      <c r="M815" s="474"/>
      <c r="N815" s="802"/>
      <c r="O815" s="512"/>
      <c r="P815" s="512"/>
      <c r="Q815" s="802"/>
    </row>
    <row r="816" spans="1:20">
      <c r="A816" s="163"/>
      <c r="B816" s="339"/>
      <c r="C816" s="340"/>
      <c r="D816" s="340"/>
      <c r="E816" s="340"/>
      <c r="F816" s="340"/>
      <c r="G816" s="340"/>
      <c r="H816" s="150"/>
      <c r="I816" s="341">
        <v>602.20100000000002</v>
      </c>
      <c r="J816" s="342" t="s">
        <v>357</v>
      </c>
      <c r="K816" s="344"/>
      <c r="L816" s="474"/>
      <c r="M816" s="474">
        <v>33747</v>
      </c>
      <c r="N816" s="802"/>
      <c r="O816" s="512"/>
      <c r="P816" s="512"/>
      <c r="Q816" s="802"/>
    </row>
    <row r="817" spans="1:17">
      <c r="A817" s="163"/>
      <c r="B817" s="339"/>
      <c r="C817" s="340"/>
      <c r="D817" s="340"/>
      <c r="E817" s="340"/>
      <c r="F817" s="340"/>
      <c r="G817" s="340"/>
      <c r="H817" s="150"/>
      <c r="I817" s="341">
        <v>602.20110000000102</v>
      </c>
      <c r="J817" s="342" t="s">
        <v>204</v>
      </c>
      <c r="K817" s="344"/>
      <c r="L817" s="474"/>
      <c r="M817" s="474">
        <v>68400</v>
      </c>
      <c r="N817" s="802"/>
      <c r="O817" s="512"/>
      <c r="P817" s="512"/>
      <c r="Q817" s="802"/>
    </row>
    <row r="818" spans="1:17" ht="13.5" thickBot="1">
      <c r="A818" s="163"/>
      <c r="B818" s="345"/>
      <c r="C818" s="346"/>
      <c r="D818" s="346"/>
      <c r="E818" s="346"/>
      <c r="F818" s="346"/>
      <c r="G818" s="346"/>
      <c r="H818" s="164"/>
      <c r="I818" s="347">
        <v>602.20989999999995</v>
      </c>
      <c r="J818" s="348" t="s">
        <v>496</v>
      </c>
      <c r="K818" s="350"/>
      <c r="L818" s="475"/>
      <c r="M818" s="475">
        <v>175668</v>
      </c>
      <c r="N818" s="802"/>
      <c r="O818" s="512"/>
      <c r="P818" s="512"/>
      <c r="Q818" s="802"/>
    </row>
    <row r="819" spans="1:17" ht="13.5" thickBot="1">
      <c r="A819" s="163"/>
      <c r="B819" s="320"/>
      <c r="C819" s="321"/>
      <c r="D819" s="321"/>
      <c r="E819" s="321"/>
      <c r="F819" s="321"/>
      <c r="G819" s="321"/>
      <c r="H819" s="322"/>
      <c r="I819" s="323">
        <v>6023</v>
      </c>
      <c r="J819" s="324" t="s">
        <v>206</v>
      </c>
      <c r="K819" s="351">
        <f>SUM(K820+K821+K822+K823)</f>
        <v>0</v>
      </c>
      <c r="L819" s="476">
        <f>SUM(L820+L821+L822+L823)</f>
        <v>0</v>
      </c>
      <c r="M819" s="476">
        <f>SUM(M820:M823)</f>
        <v>3767442</v>
      </c>
      <c r="N819" s="802"/>
      <c r="O819" s="512"/>
      <c r="P819" s="512"/>
      <c r="Q819" s="802"/>
    </row>
    <row r="820" spans="1:17">
      <c r="A820" s="163"/>
      <c r="B820" s="352"/>
      <c r="C820" s="353"/>
      <c r="D820" s="353"/>
      <c r="E820" s="353"/>
      <c r="F820" s="353"/>
      <c r="G820" s="353"/>
      <c r="H820" s="354"/>
      <c r="I820" s="360">
        <v>602.30999999999995</v>
      </c>
      <c r="J820" s="361" t="s">
        <v>207</v>
      </c>
      <c r="K820" s="362"/>
      <c r="L820" s="477"/>
      <c r="M820" s="477">
        <f>2917614+350928</f>
        <v>3268542</v>
      </c>
      <c r="N820" s="799"/>
      <c r="O820" s="512">
        <v>612906</v>
      </c>
      <c r="P820" s="512"/>
      <c r="Q820" s="799"/>
    </row>
    <row r="821" spans="1:17">
      <c r="A821" s="163"/>
      <c r="B821" s="339"/>
      <c r="C821" s="340"/>
      <c r="D821" s="340"/>
      <c r="E821" s="340"/>
      <c r="F821" s="340"/>
      <c r="G821" s="340"/>
      <c r="H821" s="150"/>
      <c r="I821" s="341">
        <v>602.32000000000005</v>
      </c>
      <c r="J821" s="342" t="s">
        <v>359</v>
      </c>
      <c r="K821" s="344"/>
      <c r="L821" s="474"/>
      <c r="M821" s="474">
        <f>352620+134280</f>
        <v>486900</v>
      </c>
      <c r="N821" s="804"/>
      <c r="O821" s="512"/>
      <c r="P821" s="512"/>
      <c r="Q821" s="802"/>
    </row>
    <row r="822" spans="1:17">
      <c r="A822" s="163"/>
      <c r="B822" s="339"/>
      <c r="C822" s="340"/>
      <c r="D822" s="340"/>
      <c r="E822" s="340"/>
      <c r="F822" s="340"/>
      <c r="G822" s="340"/>
      <c r="H822" s="150"/>
      <c r="I822" s="341">
        <v>602.33000000000004</v>
      </c>
      <c r="J822" s="342" t="s">
        <v>360</v>
      </c>
      <c r="K822" s="344"/>
      <c r="L822" s="474"/>
      <c r="M822" s="474">
        <v>12000</v>
      </c>
      <c r="N822" s="802"/>
      <c r="Q822" s="802"/>
    </row>
    <row r="823" spans="1:17" ht="13.5" thickBot="1">
      <c r="A823" s="163"/>
      <c r="B823" s="345"/>
      <c r="C823" s="346"/>
      <c r="D823" s="346"/>
      <c r="E823" s="346"/>
      <c r="F823" s="346"/>
      <c r="G823" s="346"/>
      <c r="H823" s="164"/>
      <c r="I823" s="347">
        <v>602.39</v>
      </c>
      <c r="J823" s="348" t="s">
        <v>361</v>
      </c>
      <c r="K823" s="350"/>
      <c r="L823" s="798"/>
      <c r="M823" s="798"/>
      <c r="N823" s="802"/>
      <c r="Q823" s="802"/>
    </row>
    <row r="824" spans="1:17" ht="13.5" thickBot="1">
      <c r="A824" s="163"/>
      <c r="B824" s="320"/>
      <c r="C824" s="321"/>
      <c r="D824" s="321"/>
      <c r="E824" s="321"/>
      <c r="F824" s="321"/>
      <c r="G824" s="321"/>
      <c r="H824" s="322"/>
      <c r="I824" s="323">
        <v>602.4</v>
      </c>
      <c r="J824" s="324" t="s">
        <v>362</v>
      </c>
      <c r="K824" s="351">
        <f>SUM(K825+K826)</f>
        <v>0</v>
      </c>
      <c r="L824" s="476">
        <f>SUM(L825+L826)</f>
        <v>0</v>
      </c>
      <c r="M824" s="476">
        <f>SUM(M825:M826)</f>
        <v>3582425</v>
      </c>
      <c r="N824" s="802"/>
      <c r="Q824" s="802"/>
    </row>
    <row r="825" spans="1:17">
      <c r="A825" s="163"/>
      <c r="B825" s="352"/>
      <c r="C825" s="353"/>
      <c r="D825" s="353"/>
      <c r="E825" s="353"/>
      <c r="F825" s="353"/>
      <c r="G825" s="353"/>
      <c r="H825" s="354"/>
      <c r="I825" s="360">
        <v>602.4</v>
      </c>
      <c r="J825" s="361" t="s">
        <v>363</v>
      </c>
      <c r="K825" s="362"/>
      <c r="L825" s="712"/>
      <c r="M825" s="712">
        <v>3582425</v>
      </c>
      <c r="N825" s="799"/>
      <c r="Q825" s="799"/>
    </row>
    <row r="826" spans="1:17" ht="13.5" thickBot="1">
      <c r="A826" s="163"/>
      <c r="B826" s="345"/>
      <c r="C826" s="346"/>
      <c r="D826" s="346"/>
      <c r="E826" s="346"/>
      <c r="F826" s="346"/>
      <c r="G826" s="346"/>
      <c r="H826" s="164"/>
      <c r="I826" s="347">
        <v>602.41</v>
      </c>
      <c r="J826" s="348" t="s">
        <v>364</v>
      </c>
      <c r="K826" s="350"/>
      <c r="L826" s="797"/>
      <c r="M826" s="797"/>
      <c r="N826" s="140"/>
      <c r="Q826" s="805"/>
    </row>
    <row r="827" spans="1:17" ht="13.5" thickBot="1">
      <c r="A827" s="163"/>
      <c r="B827" s="320"/>
      <c r="C827" s="321"/>
      <c r="D827" s="321"/>
      <c r="E827" s="321"/>
      <c r="F827" s="321"/>
      <c r="G827" s="321"/>
      <c r="H827" s="322"/>
      <c r="I827" s="323">
        <v>602.5</v>
      </c>
      <c r="J827" s="324" t="s">
        <v>365</v>
      </c>
      <c r="K827" s="351">
        <f>SUM(K828+K829+K830+K831+K832+K833+K834+K835)</f>
        <v>0</v>
      </c>
      <c r="L827" s="472">
        <f>SUM(L828+L829+L830+L831+L832+L833+L834+L835)</f>
        <v>0</v>
      </c>
      <c r="M827" s="472">
        <f>SUM(M828:M835)</f>
        <v>729040</v>
      </c>
      <c r="N827" s="843"/>
      <c r="O827" s="209"/>
      <c r="P827" s="718"/>
      <c r="Q827" s="802"/>
    </row>
    <row r="828" spans="1:17">
      <c r="A828" s="163"/>
      <c r="B828" s="352"/>
      <c r="C828" s="353"/>
      <c r="D828" s="353"/>
      <c r="E828" s="353"/>
      <c r="F828" s="353"/>
      <c r="G828" s="353"/>
      <c r="H828" s="354"/>
      <c r="I828" s="360">
        <v>602.5</v>
      </c>
      <c r="J828" s="361" t="s">
        <v>366</v>
      </c>
      <c r="K828" s="364"/>
      <c r="L828" s="481"/>
      <c r="M828" s="481"/>
      <c r="N828" s="801"/>
      <c r="Q828" s="801"/>
    </row>
    <row r="829" spans="1:17">
      <c r="A829" s="163"/>
      <c r="B829" s="339"/>
      <c r="C829" s="340"/>
      <c r="D829" s="340"/>
      <c r="E829" s="340"/>
      <c r="F829" s="340"/>
      <c r="G829" s="340"/>
      <c r="H829" s="150"/>
      <c r="I829" s="341">
        <v>602.51</v>
      </c>
      <c r="J829" s="342" t="s">
        <v>367</v>
      </c>
      <c r="K829" s="365"/>
      <c r="L829" s="482"/>
      <c r="M829" s="482"/>
      <c r="N829" s="801"/>
      <c r="Q829" s="801"/>
    </row>
    <row r="830" spans="1:17">
      <c r="A830" s="163"/>
      <c r="B830" s="339"/>
      <c r="C830" s="340"/>
      <c r="D830" s="340"/>
      <c r="E830" s="340"/>
      <c r="F830" s="340"/>
      <c r="G830" s="340"/>
      <c r="H830" s="150"/>
      <c r="I830" s="341">
        <v>602.52</v>
      </c>
      <c r="J830" s="342" t="s">
        <v>497</v>
      </c>
      <c r="K830" s="365"/>
      <c r="L830" s="482"/>
      <c r="M830" s="482">
        <f>466888+105100-175668</f>
        <v>396320</v>
      </c>
      <c r="N830" s="801"/>
      <c r="Q830" s="801"/>
    </row>
    <row r="831" spans="1:17" ht="13.5" thickBot="1">
      <c r="A831" s="163"/>
      <c r="B831" s="367"/>
      <c r="C831" s="368"/>
      <c r="D831" s="368"/>
      <c r="E831" s="368"/>
      <c r="F831" s="368"/>
      <c r="G831" s="368"/>
      <c r="H831" s="369"/>
      <c r="I831" s="370">
        <v>602.53</v>
      </c>
      <c r="J831" s="371" t="s">
        <v>369</v>
      </c>
      <c r="K831" s="372"/>
      <c r="L831" s="483"/>
      <c r="M831" s="483"/>
      <c r="N831" s="801"/>
      <c r="Q831" s="801"/>
    </row>
    <row r="832" spans="1:17">
      <c r="A832" s="163"/>
      <c r="B832" s="332"/>
      <c r="C832" s="333"/>
      <c r="D832" s="333"/>
      <c r="E832" s="333"/>
      <c r="F832" s="333"/>
      <c r="G832" s="333"/>
      <c r="H832" s="334"/>
      <c r="I832" s="335">
        <v>602.54</v>
      </c>
      <c r="J832" s="336" t="s">
        <v>405</v>
      </c>
      <c r="K832" s="373"/>
      <c r="L832" s="469"/>
      <c r="M832" s="469"/>
      <c r="N832" s="801"/>
      <c r="Q832" s="801"/>
    </row>
    <row r="833" spans="1:17">
      <c r="A833" s="163"/>
      <c r="B833" s="339"/>
      <c r="C833" s="340"/>
      <c r="D833" s="340"/>
      <c r="E833" s="340"/>
      <c r="F833" s="340"/>
      <c r="G833" s="340"/>
      <c r="H833" s="150"/>
      <c r="I833" s="341">
        <v>602.54999999999995</v>
      </c>
      <c r="J833" s="342" t="s">
        <v>370</v>
      </c>
      <c r="K833" s="365"/>
      <c r="L833" s="710"/>
      <c r="M833" s="710"/>
      <c r="N833" s="801"/>
      <c r="Q833" s="800"/>
    </row>
    <row r="834" spans="1:17">
      <c r="A834" s="163"/>
      <c r="B834" s="339"/>
      <c r="C834" s="340"/>
      <c r="D834" s="340"/>
      <c r="E834" s="340"/>
      <c r="F834" s="340"/>
      <c r="G834" s="340"/>
      <c r="H834" s="150"/>
      <c r="I834" s="341">
        <v>602.55999999999995</v>
      </c>
      <c r="J834" s="342" t="s">
        <v>371</v>
      </c>
      <c r="K834" s="365"/>
      <c r="L834" s="482"/>
      <c r="M834" s="482"/>
      <c r="N834" s="140"/>
      <c r="Q834" s="805"/>
    </row>
    <row r="835" spans="1:17" ht="13.5" thickBot="1">
      <c r="A835" s="163"/>
      <c r="B835" s="345"/>
      <c r="C835" s="346"/>
      <c r="D835" s="346"/>
      <c r="E835" s="346"/>
      <c r="F835" s="346"/>
      <c r="G835" s="346"/>
      <c r="H835" s="164"/>
      <c r="I835" s="347">
        <v>602.58000000000004</v>
      </c>
      <c r="J835" s="348" t="s">
        <v>499</v>
      </c>
      <c r="K835" s="374"/>
      <c r="L835" s="711"/>
      <c r="M835" s="711">
        <f>194950+137770</f>
        <v>332720</v>
      </c>
      <c r="N835" s="801"/>
      <c r="Q835" s="801"/>
    </row>
    <row r="836" spans="1:17" ht="13.5" thickBot="1">
      <c r="A836" s="163"/>
      <c r="B836" s="320"/>
      <c r="C836" s="321"/>
      <c r="D836" s="321"/>
      <c r="E836" s="321"/>
      <c r="F836" s="321"/>
      <c r="G836" s="321"/>
      <c r="H836" s="322"/>
      <c r="I836" s="323">
        <v>602.6</v>
      </c>
      <c r="J836" s="324" t="s">
        <v>373</v>
      </c>
      <c r="K836" s="376">
        <f>SUM(K837+K838+K839+K840+K841)</f>
        <v>0</v>
      </c>
      <c r="L836" s="485">
        <f>SUM(L837+L838+L839+L840+L841)</f>
        <v>0</v>
      </c>
      <c r="M836" s="485">
        <f>SUM(M837+M838+M839+M840+M841)</f>
        <v>66000</v>
      </c>
      <c r="N836" s="140"/>
      <c r="Q836" s="805"/>
    </row>
    <row r="837" spans="1:17">
      <c r="A837" s="163"/>
      <c r="B837" s="352"/>
      <c r="C837" s="353"/>
      <c r="D837" s="353"/>
      <c r="E837" s="353"/>
      <c r="F837" s="353"/>
      <c r="G837" s="353"/>
      <c r="H837" s="354"/>
      <c r="I837" s="360">
        <v>602.61</v>
      </c>
      <c r="J837" s="361" t="s">
        <v>374</v>
      </c>
      <c r="K837" s="364"/>
      <c r="L837" s="481"/>
      <c r="M837" s="481">
        <v>30000</v>
      </c>
      <c r="N837" s="804"/>
      <c r="Q837" s="804"/>
    </row>
    <row r="838" spans="1:17">
      <c r="A838" s="163"/>
      <c r="B838" s="339"/>
      <c r="C838" s="340"/>
      <c r="D838" s="340"/>
      <c r="E838" s="340"/>
      <c r="F838" s="340"/>
      <c r="G838" s="340"/>
      <c r="H838" s="150"/>
      <c r="I838" s="341">
        <v>602.62</v>
      </c>
      <c r="J838" s="342" t="s">
        <v>375</v>
      </c>
      <c r="K838" s="365"/>
      <c r="L838" s="482"/>
      <c r="M838" s="482"/>
      <c r="N838" s="801"/>
      <c r="Q838" s="801"/>
    </row>
    <row r="839" spans="1:17">
      <c r="A839" s="163"/>
      <c r="B839" s="339"/>
      <c r="C839" s="340"/>
      <c r="D839" s="340"/>
      <c r="E839" s="340"/>
      <c r="F839" s="340"/>
      <c r="G839" s="340"/>
      <c r="H839" s="150"/>
      <c r="I839" s="341">
        <v>602.63</v>
      </c>
      <c r="J839" s="342" t="s">
        <v>376</v>
      </c>
      <c r="K839" s="365"/>
      <c r="L839" s="482"/>
      <c r="M839" s="482"/>
      <c r="N839" s="801"/>
      <c r="Q839" s="801"/>
    </row>
    <row r="840" spans="1:17">
      <c r="A840" s="163"/>
      <c r="B840" s="339"/>
      <c r="C840" s="340"/>
      <c r="D840" s="340"/>
      <c r="E840" s="340"/>
      <c r="F840" s="340"/>
      <c r="G840" s="340"/>
      <c r="H840" s="150"/>
      <c r="I840" s="341">
        <v>602.64</v>
      </c>
      <c r="J840" s="342" t="s">
        <v>377</v>
      </c>
      <c r="K840" s="365"/>
      <c r="L840" s="482"/>
      <c r="M840" s="482">
        <v>36000</v>
      </c>
      <c r="N840" s="801"/>
      <c r="Q840" s="801"/>
    </row>
    <row r="841" spans="1:17" ht="13.5" thickBot="1">
      <c r="A841" s="163"/>
      <c r="B841" s="345"/>
      <c r="C841" s="346"/>
      <c r="D841" s="346"/>
      <c r="E841" s="346"/>
      <c r="F841" s="346"/>
      <c r="G841" s="346"/>
      <c r="H841" s="164"/>
      <c r="I841" s="347">
        <v>602.69000000000005</v>
      </c>
      <c r="J841" s="348" t="s">
        <v>378</v>
      </c>
      <c r="K841" s="374"/>
      <c r="L841" s="486"/>
      <c r="M841" s="486"/>
      <c r="N841" s="801"/>
      <c r="Q841" s="801"/>
    </row>
    <row r="842" spans="1:17" ht="13.5" thickBot="1">
      <c r="A842" s="163"/>
      <c r="B842" s="320"/>
      <c r="C842" s="321"/>
      <c r="D842" s="321"/>
      <c r="E842" s="321"/>
      <c r="F842" s="321"/>
      <c r="G842" s="321"/>
      <c r="H842" s="322"/>
      <c r="I842" s="377">
        <v>602.70000000000005</v>
      </c>
      <c r="J842" s="324" t="s">
        <v>379</v>
      </c>
      <c r="K842" s="376">
        <f>SUM(K843+K844+K845+K846+K847+K848)</f>
        <v>0</v>
      </c>
      <c r="L842" s="485">
        <f>SUM(L843+L844+L845+L846+L847+L848)</f>
        <v>0</v>
      </c>
      <c r="M842" s="485">
        <f>SUM(M843:M848)</f>
        <v>2730800</v>
      </c>
      <c r="N842" s="801"/>
      <c r="Q842" s="801"/>
    </row>
    <row r="843" spans="1:17">
      <c r="A843" s="163"/>
      <c r="B843" s="352"/>
      <c r="C843" s="353"/>
      <c r="D843" s="353"/>
      <c r="E843" s="353"/>
      <c r="F843" s="353"/>
      <c r="G843" s="353"/>
      <c r="H843" s="354"/>
      <c r="I843" s="360">
        <v>602.71</v>
      </c>
      <c r="J843" s="361" t="s">
        <v>380</v>
      </c>
      <c r="K843" s="364"/>
      <c r="L843" s="481"/>
      <c r="M843" s="481"/>
      <c r="N843" s="804"/>
      <c r="Q843" s="804"/>
    </row>
    <row r="844" spans="1:17">
      <c r="A844" s="163"/>
      <c r="B844" s="339"/>
      <c r="C844" s="340"/>
      <c r="D844" s="340"/>
      <c r="E844" s="340"/>
      <c r="F844" s="340"/>
      <c r="G844" s="340"/>
      <c r="H844" s="150"/>
      <c r="I844" s="341">
        <v>602.72</v>
      </c>
      <c r="J844" s="342" t="s">
        <v>381</v>
      </c>
      <c r="K844" s="365"/>
      <c r="L844" s="482"/>
      <c r="M844" s="482"/>
      <c r="N844" s="801"/>
      <c r="Q844" s="801"/>
    </row>
    <row r="845" spans="1:17">
      <c r="A845" s="163"/>
      <c r="B845" s="339"/>
      <c r="C845" s="340"/>
      <c r="D845" s="340"/>
      <c r="E845" s="340"/>
      <c r="F845" s="340"/>
      <c r="G845" s="340"/>
      <c r="H845" s="150"/>
      <c r="I845" s="341">
        <v>602.73</v>
      </c>
      <c r="J845" s="342" t="s">
        <v>382</v>
      </c>
      <c r="K845" s="365"/>
      <c r="L845" s="482"/>
      <c r="M845" s="482"/>
      <c r="N845" s="801"/>
      <c r="Q845" s="801"/>
    </row>
    <row r="846" spans="1:17">
      <c r="A846" s="163"/>
      <c r="B846" s="339"/>
      <c r="C846" s="340"/>
      <c r="D846" s="340"/>
      <c r="E846" s="340"/>
      <c r="F846" s="340"/>
      <c r="G846" s="340"/>
      <c r="H846" s="150"/>
      <c r="I846" s="341">
        <v>602.74</v>
      </c>
      <c r="J846" s="342" t="s">
        <v>383</v>
      </c>
      <c r="K846" s="365"/>
      <c r="L846" s="781"/>
      <c r="M846" s="781">
        <f>2331343+144000+14000-15000+159657</f>
        <v>2634000</v>
      </c>
      <c r="N846" s="801"/>
      <c r="O846" s="149">
        <v>2813000</v>
      </c>
      <c r="Q846" s="801"/>
    </row>
    <row r="847" spans="1:17">
      <c r="A847" s="163"/>
      <c r="B847" s="339"/>
      <c r="C847" s="340"/>
      <c r="D847" s="340"/>
      <c r="E847" s="340"/>
      <c r="F847" s="340"/>
      <c r="G847" s="340"/>
      <c r="H847" s="150"/>
      <c r="I847" s="341">
        <v>602.75</v>
      </c>
      <c r="J847" s="342" t="s">
        <v>384</v>
      </c>
      <c r="K847" s="365"/>
      <c r="L847" s="482"/>
      <c r="M847" s="482">
        <v>96800</v>
      </c>
      <c r="N847" s="801"/>
      <c r="Q847" s="801"/>
    </row>
    <row r="848" spans="1:17" ht="13.5" thickBot="1">
      <c r="A848" s="163"/>
      <c r="B848" s="345"/>
      <c r="C848" s="346"/>
      <c r="D848" s="346"/>
      <c r="E848" s="346"/>
      <c r="F848" s="346"/>
      <c r="G848" s="346"/>
      <c r="H848" s="164"/>
      <c r="I848" s="347">
        <v>602.79</v>
      </c>
      <c r="J848" s="348" t="s">
        <v>385</v>
      </c>
      <c r="K848" s="374"/>
      <c r="L848" s="486"/>
      <c r="M848" s="486"/>
      <c r="N848" s="801"/>
      <c r="Q848" s="801"/>
    </row>
    <row r="849" spans="1:17" ht="13.5" thickBot="1">
      <c r="A849" s="163"/>
      <c r="B849" s="320"/>
      <c r="C849" s="321"/>
      <c r="D849" s="321"/>
      <c r="E849" s="321"/>
      <c r="F849" s="321"/>
      <c r="G849" s="321"/>
      <c r="H849" s="322"/>
      <c r="I849" s="377">
        <v>602.79999999999995</v>
      </c>
      <c r="J849" s="324" t="s">
        <v>386</v>
      </c>
      <c r="K849" s="376">
        <f>SUM(K850+K851)</f>
        <v>0</v>
      </c>
      <c r="L849" s="485">
        <f>SUM(L850+L851)</f>
        <v>0</v>
      </c>
      <c r="M849" s="485">
        <f>SUM(M850+M851)</f>
        <v>0</v>
      </c>
      <c r="N849" s="801"/>
      <c r="Q849" s="801"/>
    </row>
    <row r="850" spans="1:17">
      <c r="A850" s="163"/>
      <c r="B850" s="352"/>
      <c r="C850" s="353"/>
      <c r="D850" s="353"/>
      <c r="E850" s="353"/>
      <c r="F850" s="353"/>
      <c r="G850" s="353"/>
      <c r="H850" s="354"/>
      <c r="I850" s="360">
        <v>602.80999999999995</v>
      </c>
      <c r="J850" s="361" t="s">
        <v>387</v>
      </c>
      <c r="K850" s="357"/>
      <c r="L850" s="473"/>
      <c r="M850" s="473"/>
      <c r="N850" s="804"/>
      <c r="Q850" s="804"/>
    </row>
    <row r="851" spans="1:17" ht="13.5" thickBot="1">
      <c r="A851" s="163"/>
      <c r="B851" s="345"/>
      <c r="C851" s="346"/>
      <c r="D851" s="346"/>
      <c r="E851" s="346"/>
      <c r="F851" s="346"/>
      <c r="G851" s="346"/>
      <c r="H851" s="164"/>
      <c r="I851" s="347">
        <v>602.82000000000005</v>
      </c>
      <c r="J851" s="348" t="s">
        <v>388</v>
      </c>
      <c r="K851" s="349"/>
      <c r="L851" s="471"/>
      <c r="M851" s="471"/>
      <c r="N851" s="800"/>
      <c r="O851" s="682">
        <f>O846-M846</f>
        <v>179000</v>
      </c>
      <c r="Q851" s="800"/>
    </row>
    <row r="852" spans="1:17" ht="13.5" thickBot="1">
      <c r="A852" s="163"/>
      <c r="B852" s="320"/>
      <c r="C852" s="321"/>
      <c r="D852" s="321"/>
      <c r="E852" s="321"/>
      <c r="F852" s="321"/>
      <c r="G852" s="321"/>
      <c r="H852" s="322"/>
      <c r="I852" s="323">
        <v>602.9</v>
      </c>
      <c r="J852" s="324" t="s">
        <v>389</v>
      </c>
      <c r="K852" s="376">
        <f>SUM(K853+K854+K855+K856+K857+K858+K859+K860+K861)</f>
        <v>0</v>
      </c>
      <c r="L852" s="485">
        <f>SUM(L853+L854+L855+L856+L857+L858+L859+L860+L861)</f>
        <v>0</v>
      </c>
      <c r="M852" s="485">
        <f>SUM(M853+M854+M855+M856+M857+M858+M859+M860+M861)</f>
        <v>587500</v>
      </c>
      <c r="N852" s="800"/>
      <c r="Q852" s="800"/>
    </row>
    <row r="853" spans="1:17">
      <c r="A853" s="163"/>
      <c r="B853" s="332"/>
      <c r="C853" s="333"/>
      <c r="D853" s="333"/>
      <c r="E853" s="333"/>
      <c r="F853" s="333"/>
      <c r="G853" s="333"/>
      <c r="H853" s="334"/>
      <c r="I853" s="335">
        <v>602.90009999999995</v>
      </c>
      <c r="J853" s="336" t="s">
        <v>390</v>
      </c>
      <c r="K853" s="338"/>
      <c r="L853" s="487"/>
      <c r="M853" s="487"/>
      <c r="N853" s="804"/>
      <c r="Q853" s="804"/>
    </row>
    <row r="854" spans="1:17">
      <c r="A854" s="163"/>
      <c r="B854" s="339"/>
      <c r="C854" s="340"/>
      <c r="D854" s="340"/>
      <c r="E854" s="340"/>
      <c r="F854" s="340"/>
      <c r="G854" s="340"/>
      <c r="H854" s="150"/>
      <c r="I854" s="341">
        <v>602.90020000000004</v>
      </c>
      <c r="J854" s="342" t="s">
        <v>392</v>
      </c>
      <c r="K854" s="344"/>
      <c r="L854" s="474"/>
      <c r="M854" s="474"/>
      <c r="N854" s="802"/>
      <c r="Q854" s="802"/>
    </row>
    <row r="855" spans="1:17">
      <c r="A855" s="163"/>
      <c r="B855" s="339"/>
      <c r="C855" s="340"/>
      <c r="D855" s="340"/>
      <c r="E855" s="340"/>
      <c r="F855" s="340"/>
      <c r="G855" s="340"/>
      <c r="H855" s="150"/>
      <c r="I855" s="341">
        <v>602.90030000000002</v>
      </c>
      <c r="J855" s="342" t="s">
        <v>391</v>
      </c>
      <c r="K855" s="344"/>
      <c r="L855" s="474"/>
      <c r="M855" s="474">
        <v>12000</v>
      </c>
      <c r="N855" s="802"/>
      <c r="O855" s="149">
        <v>2474343</v>
      </c>
      <c r="Q855" s="802"/>
    </row>
    <row r="856" spans="1:17">
      <c r="A856" s="163"/>
      <c r="B856" s="339"/>
      <c r="C856" s="340"/>
      <c r="D856" s="340"/>
      <c r="E856" s="340"/>
      <c r="F856" s="340"/>
      <c r="G856" s="340"/>
      <c r="H856" s="150"/>
      <c r="I856" s="341">
        <v>602.90039999999999</v>
      </c>
      <c r="J856" s="342" t="s">
        <v>393</v>
      </c>
      <c r="K856" s="344"/>
      <c r="L856" s="474"/>
      <c r="M856" s="474"/>
      <c r="N856" s="802"/>
      <c r="O856" s="149">
        <v>170000</v>
      </c>
      <c r="Q856" s="802"/>
    </row>
    <row r="857" spans="1:17">
      <c r="A857" s="163"/>
      <c r="B857" s="339"/>
      <c r="C857" s="340"/>
      <c r="D857" s="340"/>
      <c r="E857" s="340"/>
      <c r="F857" s="340"/>
      <c r="G857" s="340"/>
      <c r="H857" s="150"/>
      <c r="I857" s="341">
        <v>602.90049999999997</v>
      </c>
      <c r="J857" s="342" t="s">
        <v>394</v>
      </c>
      <c r="K857" s="344"/>
      <c r="L857" s="474"/>
      <c r="M857" s="474">
        <v>575500</v>
      </c>
      <c r="N857" s="802"/>
      <c r="Q857" s="802"/>
    </row>
    <row r="858" spans="1:17">
      <c r="A858" s="163"/>
      <c r="B858" s="339"/>
      <c r="C858" s="340"/>
      <c r="D858" s="340"/>
      <c r="E858" s="340"/>
      <c r="F858" s="340"/>
      <c r="G858" s="340"/>
      <c r="H858" s="150"/>
      <c r="I858" s="341">
        <v>602.90060000000005</v>
      </c>
      <c r="J858" s="342" t="s">
        <v>395</v>
      </c>
      <c r="K858" s="344"/>
      <c r="L858" s="474"/>
      <c r="M858" s="474"/>
      <c r="N858" s="802"/>
      <c r="O858" s="149">
        <f>SUM(O855:O857)</f>
        <v>2644343</v>
      </c>
      <c r="Q858" s="802"/>
    </row>
    <row r="859" spans="1:17">
      <c r="A859" s="163"/>
      <c r="B859" s="339"/>
      <c r="C859" s="340"/>
      <c r="D859" s="340"/>
      <c r="E859" s="340"/>
      <c r="F859" s="340"/>
      <c r="G859" s="340"/>
      <c r="H859" s="150"/>
      <c r="I859" s="341">
        <v>602.90070000000003</v>
      </c>
      <c r="J859" s="342" t="s">
        <v>396</v>
      </c>
      <c r="K859" s="343"/>
      <c r="L859" s="470"/>
      <c r="M859" s="470"/>
      <c r="N859" s="802"/>
      <c r="O859" s="149">
        <v>9000</v>
      </c>
      <c r="Q859" s="802"/>
    </row>
    <row r="860" spans="1:17">
      <c r="A860" s="163"/>
      <c r="B860" s="339"/>
      <c r="C860" s="340"/>
      <c r="D860" s="340"/>
      <c r="E860" s="340"/>
      <c r="F860" s="340"/>
      <c r="G860" s="340"/>
      <c r="H860" s="150"/>
      <c r="I860" s="341">
        <v>602.90080000000103</v>
      </c>
      <c r="J860" s="342" t="s">
        <v>397</v>
      </c>
      <c r="K860" s="344"/>
      <c r="L860" s="474"/>
      <c r="M860" s="474"/>
      <c r="N860" s="800"/>
      <c r="O860" s="946">
        <f>SUM(O858:O859)</f>
        <v>2653343</v>
      </c>
      <c r="Q860" s="800"/>
    </row>
    <row r="861" spans="1:17" ht="13.5" thickBot="1">
      <c r="A861" s="163"/>
      <c r="B861" s="345"/>
      <c r="C861" s="346"/>
      <c r="D861" s="346"/>
      <c r="E861" s="346"/>
      <c r="F861" s="346"/>
      <c r="G861" s="346"/>
      <c r="H861" s="164"/>
      <c r="I861" s="347">
        <v>602.900900000001</v>
      </c>
      <c r="J861" s="348" t="s">
        <v>398</v>
      </c>
      <c r="K861" s="350"/>
      <c r="L861" s="480"/>
      <c r="M861" s="480"/>
      <c r="N861" s="802"/>
      <c r="Q861" s="802"/>
    </row>
    <row r="862" spans="1:17" ht="13.5" thickBot="1">
      <c r="A862" s="163"/>
      <c r="B862" s="732"/>
      <c r="C862" s="733"/>
      <c r="D862" s="733"/>
      <c r="E862" s="733"/>
      <c r="F862" s="733"/>
      <c r="G862" s="776"/>
      <c r="H862" s="777">
        <v>606</v>
      </c>
      <c r="I862" s="735">
        <v>606.91</v>
      </c>
      <c r="J862" s="736" t="s">
        <v>406</v>
      </c>
      <c r="K862" s="737"/>
      <c r="L862" s="725"/>
      <c r="M862" s="725"/>
      <c r="N862" s="843"/>
      <c r="P862" s="718"/>
      <c r="Q862" s="802"/>
    </row>
    <row r="863" spans="1:17" ht="15.75" thickBot="1">
      <c r="A863" s="163"/>
      <c r="B863" s="385"/>
      <c r="C863" s="386"/>
      <c r="D863" s="386"/>
      <c r="E863" s="692">
        <v>6</v>
      </c>
      <c r="F863" s="386"/>
      <c r="G863" s="778">
        <v>10430</v>
      </c>
      <c r="H863" s="779">
        <v>231</v>
      </c>
      <c r="I863" s="390"/>
      <c r="J863" s="391" t="s">
        <v>435</v>
      </c>
      <c r="K863" s="388"/>
      <c r="L863" s="388"/>
      <c r="M863" s="388"/>
      <c r="N863" s="802"/>
      <c r="Q863" s="802"/>
    </row>
    <row r="864" spans="1:17" ht="15">
      <c r="A864" s="163"/>
      <c r="B864" s="5"/>
      <c r="C864" s="163"/>
      <c r="D864" s="163"/>
      <c r="E864" s="741"/>
      <c r="F864" s="163"/>
      <c r="G864" s="844"/>
      <c r="H864" s="845"/>
      <c r="I864" s="163"/>
      <c r="J864" s="744"/>
      <c r="K864" s="380"/>
      <c r="L864" s="380"/>
      <c r="M864" s="380"/>
      <c r="N864" s="380"/>
      <c r="Q864" s="380"/>
    </row>
    <row r="865" spans="1:27" ht="15">
      <c r="A865" s="163"/>
      <c r="B865" s="224"/>
      <c r="C865" s="703" t="s">
        <v>401</v>
      </c>
      <c r="D865" s="163"/>
      <c r="E865" s="163"/>
      <c r="F865" s="163"/>
      <c r="G865" s="163"/>
      <c r="H865" s="163"/>
      <c r="I865" s="163"/>
      <c r="J865" s="379"/>
      <c r="K865" s="380"/>
      <c r="L865" s="488"/>
      <c r="M865" s="488"/>
      <c r="N865" s="380"/>
      <c r="R865" s="380"/>
    </row>
    <row r="866" spans="1:27" ht="15">
      <c r="A866" s="163"/>
      <c r="B866" s="224"/>
      <c r="C866" s="703" t="s">
        <v>433</v>
      </c>
      <c r="D866" s="163"/>
      <c r="E866" s="163"/>
      <c r="F866" s="163"/>
      <c r="G866" s="163"/>
      <c r="H866" s="163"/>
      <c r="I866" s="163"/>
      <c r="J866" s="379"/>
      <c r="K866" s="382"/>
      <c r="L866" s="490"/>
      <c r="M866" s="490"/>
      <c r="N866" s="488"/>
    </row>
    <row r="867" spans="1:27" ht="15">
      <c r="A867" s="163"/>
      <c r="B867" s="224"/>
      <c r="C867" s="163"/>
      <c r="D867" s="383" t="s">
        <v>402</v>
      </c>
      <c r="E867" s="383"/>
      <c r="F867" s="383"/>
      <c r="G867" s="383"/>
      <c r="H867" s="163"/>
      <c r="J867" s="384" t="s">
        <v>411</v>
      </c>
      <c r="K867" s="488"/>
      <c r="L867" s="488"/>
      <c r="M867" s="488"/>
      <c r="N867" s="490"/>
    </row>
    <row r="868" spans="1:27">
      <c r="A868" s="163"/>
      <c r="B868" s="224"/>
      <c r="C868" s="163"/>
      <c r="D868" s="704" t="s">
        <v>439</v>
      </c>
      <c r="E868" s="383"/>
      <c r="F868" s="383"/>
      <c r="G868" s="383"/>
      <c r="H868" s="383"/>
      <c r="I868" s="383"/>
      <c r="J868" s="149"/>
      <c r="K868" s="702" t="s">
        <v>440</v>
      </c>
      <c r="L868" s="489"/>
      <c r="M868" s="489"/>
      <c r="N868" s="149"/>
    </row>
    <row r="869" spans="1:27">
      <c r="B869" s="5"/>
      <c r="C869" s="5"/>
      <c r="D869" s="5"/>
      <c r="E869" s="5"/>
      <c r="F869" s="5"/>
      <c r="G869" s="5"/>
      <c r="H869" s="5"/>
      <c r="I869" s="5"/>
      <c r="J869" s="5"/>
      <c r="K869" s="5"/>
      <c r="L869" s="683"/>
      <c r="M869" s="683"/>
      <c r="N869" s="149"/>
      <c r="O869" s="220"/>
      <c r="P869" s="220"/>
      <c r="Q869" s="220"/>
      <c r="R869" s="220"/>
      <c r="S869" s="220"/>
      <c r="T869" s="220"/>
      <c r="U869" s="220"/>
    </row>
    <row r="870" spans="1:27">
      <c r="A870" s="163"/>
      <c r="B870" s="163"/>
      <c r="C870" s="163"/>
      <c r="D870" s="71"/>
      <c r="E870" s="383"/>
      <c r="F870" s="383"/>
      <c r="G870" s="383"/>
      <c r="H870" s="383"/>
      <c r="I870" s="383"/>
      <c r="J870" s="383"/>
      <c r="K870" s="398"/>
      <c r="L870" s="489"/>
      <c r="M870" s="489"/>
      <c r="N870" s="489"/>
      <c r="O870" s="223"/>
      <c r="P870" s="223"/>
      <c r="Q870" s="223"/>
      <c r="R870" s="223"/>
      <c r="S870" s="223"/>
      <c r="T870" s="223"/>
      <c r="U870" s="223"/>
    </row>
    <row r="871" spans="1:27" ht="15">
      <c r="A871" s="163"/>
      <c r="B871" s="163"/>
      <c r="C871" s="210"/>
      <c r="D871" s="210"/>
      <c r="E871" s="210"/>
      <c r="F871" s="210"/>
      <c r="G871" s="210"/>
      <c r="H871" s="210"/>
      <c r="I871" s="213"/>
      <c r="J871" s="681"/>
      <c r="K871" s="215"/>
      <c r="L871" s="210"/>
      <c r="M871" s="210"/>
      <c r="N871" s="210"/>
    </row>
    <row r="872" spans="1:27">
      <c r="A872" s="163"/>
      <c r="B872" s="163"/>
      <c r="C872" s="210"/>
      <c r="D872" s="210"/>
      <c r="E872" s="210"/>
      <c r="F872" s="210"/>
      <c r="G872" s="210"/>
      <c r="H872" s="211"/>
      <c r="I872" s="211"/>
      <c r="J872" s="211"/>
      <c r="K872" s="211"/>
      <c r="L872" s="212"/>
      <c r="M872" s="212"/>
      <c r="N872" s="452"/>
      <c r="O872" s="220"/>
      <c r="P872" s="220"/>
      <c r="Q872" s="220"/>
      <c r="R872" s="220"/>
      <c r="S872" s="220"/>
      <c r="U872" s="220"/>
      <c r="V872" s="220"/>
      <c r="X872" s="220"/>
      <c r="Y872" s="220"/>
      <c r="Z872" s="220"/>
      <c r="AA872" s="220"/>
    </row>
    <row r="873" spans="1:27">
      <c r="B873" s="163"/>
      <c r="C873" s="210"/>
      <c r="D873" s="210"/>
      <c r="E873" s="210"/>
      <c r="F873" s="210"/>
      <c r="G873" s="210"/>
      <c r="H873" s="210"/>
      <c r="I873" s="830"/>
      <c r="J873" s="845"/>
      <c r="K873" s="830"/>
      <c r="L873" s="835"/>
      <c r="M873" s="835"/>
      <c r="N873" s="453"/>
      <c r="O873" s="223"/>
      <c r="P873" s="223"/>
      <c r="Q873" s="223"/>
      <c r="R873" s="223"/>
      <c r="S873" s="223"/>
      <c r="T873" s="811"/>
      <c r="U873" s="223"/>
      <c r="V873" s="223"/>
      <c r="X873" s="223"/>
      <c r="Y873" s="223"/>
      <c r="Z873" s="223"/>
      <c r="AA873" s="223"/>
    </row>
    <row r="874" spans="1:27" ht="15">
      <c r="B874" s="216"/>
      <c r="C874" s="217"/>
      <c r="D874" s="217"/>
      <c r="E874" s="218"/>
      <c r="F874" s="218"/>
      <c r="G874" s="218"/>
      <c r="H874" s="218"/>
      <c r="I874" s="911"/>
      <c r="J874" s="911"/>
      <c r="K874" s="912"/>
      <c r="L874" s="913"/>
      <c r="M874" s="913"/>
      <c r="N874" s="453"/>
      <c r="O874" s="223"/>
      <c r="P874" s="223"/>
      <c r="Q874" s="223"/>
      <c r="R874" s="223"/>
      <c r="S874" s="223"/>
      <c r="T874" s="811"/>
      <c r="W874" s="811"/>
      <c r="X874" s="223"/>
      <c r="Y874" s="223"/>
      <c r="Z874" s="223"/>
      <c r="AA874" s="223"/>
    </row>
    <row r="875" spans="1:27" ht="15">
      <c r="B875" s="221"/>
      <c r="C875" s="218" t="s">
        <v>301</v>
      </c>
      <c r="D875" s="218"/>
      <c r="E875" s="218"/>
      <c r="F875" s="218"/>
      <c r="G875" s="218"/>
      <c r="H875" s="218"/>
      <c r="I875" s="911"/>
      <c r="J875" s="914"/>
      <c r="K875" s="911"/>
      <c r="L875" s="913"/>
      <c r="M875" s="913"/>
      <c r="N875" s="210"/>
      <c r="T875" s="811"/>
    </row>
    <row r="876" spans="1:27" ht="15">
      <c r="B876" s="221"/>
      <c r="C876" s="218"/>
      <c r="D876" s="218"/>
      <c r="E876" s="218"/>
      <c r="F876" s="223"/>
      <c r="G876" s="218"/>
      <c r="H876" s="218"/>
      <c r="I876" s="911"/>
      <c r="J876" s="911"/>
      <c r="K876" s="913"/>
      <c r="L876" s="914"/>
      <c r="M876" s="913"/>
      <c r="N876" s="826"/>
    </row>
    <row r="877" spans="1:27" ht="15">
      <c r="A877" s="163"/>
      <c r="B877" s="224"/>
      <c r="C877" s="224"/>
      <c r="E877" s="224"/>
      <c r="F877" s="224"/>
      <c r="G877" s="392"/>
      <c r="H877" s="224"/>
      <c r="I877" s="915"/>
      <c r="J877" s="65"/>
      <c r="K877" s="916"/>
      <c r="L877" s="917"/>
      <c r="M877" s="917"/>
      <c r="N877" s="826"/>
      <c r="T877" s="209"/>
      <c r="W877" s="209"/>
    </row>
    <row r="878" spans="1:27" ht="11.25" customHeight="1">
      <c r="A878" s="1008"/>
      <c r="B878" s="1009"/>
      <c r="C878" s="1010" t="s">
        <v>300</v>
      </c>
      <c r="D878" s="226"/>
      <c r="E878" s="1009"/>
      <c r="F878" s="1011"/>
      <c r="G878" s="226"/>
      <c r="H878" s="1012"/>
      <c r="I878" s="1013"/>
      <c r="J878" s="1014" t="s">
        <v>526</v>
      </c>
      <c r="K878" s="3046" t="s">
        <v>505</v>
      </c>
      <c r="L878" s="3046"/>
      <c r="M878" s="3046"/>
      <c r="N878" s="826"/>
      <c r="T878" s="209"/>
      <c r="W878" s="209"/>
    </row>
    <row r="879" spans="1:27" ht="16.5" customHeight="1" thickBot="1">
      <c r="A879" s="1008"/>
      <c r="B879" s="1015"/>
      <c r="C879" s="1015"/>
      <c r="D879" s="237"/>
      <c r="E879" s="1015"/>
      <c r="F879" s="1015"/>
      <c r="G879" s="234"/>
      <c r="H879" s="1016"/>
      <c r="I879" s="1017"/>
      <c r="J879" s="1018" t="s">
        <v>527</v>
      </c>
      <c r="K879" s="238"/>
      <c r="L879" s="456"/>
      <c r="M879" s="456"/>
      <c r="N879" s="826"/>
      <c r="S879" s="247"/>
      <c r="T879" s="209"/>
      <c r="W879" s="209"/>
    </row>
    <row r="880" spans="1:27" ht="42" customHeight="1" thickBot="1">
      <c r="A880" s="1011"/>
      <c r="B880" s="1019" t="s">
        <v>137</v>
      </c>
      <c r="C880" s="1020" t="s">
        <v>138</v>
      </c>
      <c r="D880" s="1019" t="s">
        <v>139</v>
      </c>
      <c r="E880" s="1019" t="s">
        <v>140</v>
      </c>
      <c r="F880" s="1019" t="s">
        <v>141</v>
      </c>
      <c r="G880" s="1019" t="s">
        <v>142</v>
      </c>
      <c r="H880" s="1021" t="s">
        <v>126</v>
      </c>
      <c r="I880" s="1019" t="s">
        <v>143</v>
      </c>
      <c r="J880" s="1022" t="s">
        <v>304</v>
      </c>
      <c r="K880" s="1023" t="s">
        <v>434</v>
      </c>
      <c r="L880" s="1024" t="s">
        <v>502</v>
      </c>
      <c r="M880" s="1025" t="s">
        <v>305</v>
      </c>
      <c r="N880" s="149"/>
    </row>
    <row r="881" spans="1:27" ht="15.75" customHeight="1" thickBot="1">
      <c r="A881" s="1011"/>
      <c r="B881" s="1026" t="s">
        <v>148</v>
      </c>
      <c r="C881" s="1027">
        <v>25</v>
      </c>
      <c r="D881" s="1028" t="s">
        <v>267</v>
      </c>
      <c r="E881" s="1029">
        <v>1</v>
      </c>
      <c r="F881" s="1029">
        <v>1111</v>
      </c>
      <c r="G881" s="1030">
        <v>10430</v>
      </c>
      <c r="H881" s="1031"/>
      <c r="I881" s="1032"/>
      <c r="J881" s="1033" t="s">
        <v>308</v>
      </c>
      <c r="K881" s="1034">
        <f>SUM(K882+K883+K884+K885)</f>
        <v>0</v>
      </c>
      <c r="L881" s="1034">
        <f>SUM(L882+L883+L884+L885)</f>
        <v>0</v>
      </c>
      <c r="M881" s="1034"/>
      <c r="N881" s="829"/>
      <c r="O881" s="247"/>
      <c r="P881" s="247"/>
      <c r="Q881" s="247"/>
      <c r="R881" s="247"/>
      <c r="S881" s="247"/>
      <c r="T881" s="209"/>
      <c r="U881" s="247"/>
      <c r="V881" s="247"/>
      <c r="W881" s="247"/>
      <c r="X881" s="247"/>
      <c r="Y881" s="247"/>
      <c r="Z881" s="247"/>
      <c r="AA881" s="247"/>
    </row>
    <row r="882" spans="1:27" ht="14.1" customHeight="1">
      <c r="A882" s="1011"/>
      <c r="B882" s="1035"/>
      <c r="C882" s="1036"/>
      <c r="D882" s="1036"/>
      <c r="E882" s="1036">
        <v>1</v>
      </c>
      <c r="F882" s="1036"/>
      <c r="G882" s="1036"/>
      <c r="H882" s="1037"/>
      <c r="I882" s="1038"/>
      <c r="J882" s="1039" t="s">
        <v>309</v>
      </c>
      <c r="K882" s="1040"/>
      <c r="L882" s="1041"/>
      <c r="M882" s="1042"/>
      <c r="N882" s="831"/>
      <c r="O882" s="247"/>
      <c r="P882" s="247"/>
      <c r="Q882" s="209"/>
      <c r="R882" s="209"/>
      <c r="S882" s="247"/>
      <c r="T882" s="247"/>
      <c r="U882" s="247"/>
      <c r="V882" s="247"/>
      <c r="W882" s="247"/>
      <c r="X882" s="247"/>
      <c r="Y882" s="247"/>
      <c r="Z882" s="247"/>
      <c r="AA882" s="247"/>
    </row>
    <row r="883" spans="1:27" ht="14.1" customHeight="1">
      <c r="A883" s="1011"/>
      <c r="B883" s="1043"/>
      <c r="C883" s="1044"/>
      <c r="D883" s="1044"/>
      <c r="E883" s="1044">
        <v>5</v>
      </c>
      <c r="F883" s="1044"/>
      <c r="G883" s="1044"/>
      <c r="H883" s="1045"/>
      <c r="I883" s="1046"/>
      <c r="J883" s="1047" t="s">
        <v>310</v>
      </c>
      <c r="K883" s="1048"/>
      <c r="L883" s="1049"/>
      <c r="M883" s="1049"/>
      <c r="N883" s="832"/>
      <c r="O883" s="609"/>
      <c r="P883" s="207"/>
      <c r="Q883" s="247"/>
      <c r="R883" s="298"/>
      <c r="S883" s="247"/>
      <c r="T883" s="247"/>
      <c r="U883" s="247"/>
      <c r="V883" s="247"/>
      <c r="W883" s="247"/>
      <c r="X883" s="247"/>
      <c r="Y883" s="247"/>
      <c r="Z883" s="247"/>
      <c r="AA883" s="247"/>
    </row>
    <row r="884" spans="1:27" ht="14.1" customHeight="1">
      <c r="A884" s="1011"/>
      <c r="B884" s="1043"/>
      <c r="C884" s="1044"/>
      <c r="D884" s="1044"/>
      <c r="E884" s="1044">
        <v>5</v>
      </c>
      <c r="F884" s="1044"/>
      <c r="G884" s="1044"/>
      <c r="H884" s="1045"/>
      <c r="I884" s="1046"/>
      <c r="J884" s="1047" t="s">
        <v>311</v>
      </c>
      <c r="K884" s="1048"/>
      <c r="L884" s="1049"/>
      <c r="M884" s="1049"/>
      <c r="N884" s="832"/>
      <c r="O884" s="609"/>
      <c r="P884" s="207"/>
      <c r="Q884" s="247"/>
      <c r="R884" s="247"/>
      <c r="S884" s="247"/>
      <c r="T884" s="247"/>
      <c r="U884" s="298"/>
      <c r="V884" s="298"/>
      <c r="W884" s="247"/>
      <c r="X884" s="247"/>
      <c r="Y884" s="247"/>
      <c r="Z884" s="247"/>
      <c r="AA884" s="247"/>
    </row>
    <row r="885" spans="1:27" ht="14.1" customHeight="1" thickBot="1">
      <c r="A885" s="1010"/>
      <c r="B885" s="1050"/>
      <c r="C885" s="1051"/>
      <c r="D885" s="1051"/>
      <c r="E885" s="1051">
        <v>6</v>
      </c>
      <c r="F885" s="1051"/>
      <c r="G885" s="1051"/>
      <c r="H885" s="1052"/>
      <c r="I885" s="1053"/>
      <c r="J885" s="1054" t="s">
        <v>312</v>
      </c>
      <c r="K885" s="1055"/>
      <c r="L885" s="1056"/>
      <c r="M885" s="1056"/>
      <c r="N885" s="832"/>
      <c r="O885" s="609"/>
      <c r="P885" s="207"/>
      <c r="Q885" s="247"/>
      <c r="R885" s="298"/>
      <c r="S885" s="247"/>
      <c r="T885" s="247"/>
      <c r="U885" s="247"/>
      <c r="V885" s="247"/>
      <c r="W885" s="247"/>
      <c r="X885" s="247"/>
      <c r="Y885" s="247"/>
      <c r="Z885" s="247"/>
      <c r="AA885" s="247"/>
    </row>
    <row r="886" spans="1:27" ht="16.5" customHeight="1" thickBot="1">
      <c r="A886" s="1010"/>
      <c r="B886" s="1057"/>
      <c r="C886" s="1058"/>
      <c r="D886" s="1058"/>
      <c r="E886" s="1058"/>
      <c r="F886" s="1058"/>
      <c r="G886" s="1058"/>
      <c r="H886" s="1058"/>
      <c r="I886" s="1059"/>
      <c r="J886" s="1060" t="s">
        <v>313</v>
      </c>
      <c r="K886" s="1061">
        <f>SUM(K887+K902+K905+K984+K985)</f>
        <v>68560</v>
      </c>
      <c r="L886" s="1061">
        <f>SUM(L887+L902+L905+L984+L985)</f>
        <v>54956</v>
      </c>
      <c r="M886" s="1062">
        <f>SUM(M887+M902+M905+M984+M985)</f>
        <v>51778182</v>
      </c>
      <c r="N886" s="832"/>
      <c r="O886" s="609"/>
      <c r="P886" s="207"/>
      <c r="Q886" s="247"/>
      <c r="R886" s="298"/>
      <c r="S886" s="247"/>
      <c r="T886" s="247"/>
      <c r="U886" s="247"/>
      <c r="V886" s="247"/>
      <c r="W886" s="247"/>
      <c r="X886" s="247"/>
      <c r="Y886" s="247"/>
      <c r="Z886" s="247"/>
      <c r="AA886" s="247"/>
    </row>
    <row r="887" spans="1:27" ht="16.5" thickBot="1">
      <c r="A887" s="1010"/>
      <c r="B887" s="1063"/>
      <c r="C887" s="1064"/>
      <c r="D887" s="1064"/>
      <c r="E887" s="1064"/>
      <c r="F887" s="1064"/>
      <c r="G887" s="1064"/>
      <c r="H887" s="1065">
        <v>600</v>
      </c>
      <c r="I887" s="1066"/>
      <c r="J887" s="1067" t="s">
        <v>314</v>
      </c>
      <c r="K887" s="1068">
        <f>SUM(K888+K889+K890+K891+K892+K893+K894+K895+K896+K897+K898+K899+K900+K901)</f>
        <v>40700</v>
      </c>
      <c r="L887" s="1068">
        <f>L888+L898+L901</f>
        <v>31761</v>
      </c>
      <c r="M887" s="1069">
        <f>M888+M898+M901</f>
        <v>28891077</v>
      </c>
      <c r="N887" s="833"/>
      <c r="O887" s="609"/>
      <c r="P887" s="207"/>
      <c r="Q887" s="247"/>
      <c r="R887" s="209"/>
      <c r="S887" s="247"/>
      <c r="T887" s="247"/>
      <c r="U887" s="247"/>
      <c r="V887" s="298"/>
      <c r="W887" s="247"/>
      <c r="X887" s="247"/>
      <c r="Y887" s="247"/>
      <c r="Z887" s="247"/>
      <c r="AA887" s="247"/>
    </row>
    <row r="888" spans="1:27">
      <c r="A888" s="1010"/>
      <c r="B888" s="1070"/>
      <c r="C888" s="1071"/>
      <c r="D888" s="1071"/>
      <c r="E888" s="1071"/>
      <c r="F888" s="1071"/>
      <c r="G888" s="1071"/>
      <c r="H888" s="1072"/>
      <c r="I888" s="1073">
        <v>600.1</v>
      </c>
      <c r="J888" s="1074" t="s">
        <v>315</v>
      </c>
      <c r="K888" s="1075">
        <f>41700-1000</f>
        <v>40700</v>
      </c>
      <c r="L888" s="1076">
        <v>31761</v>
      </c>
      <c r="M888" s="1077">
        <f>SUM(M889:M893)</f>
        <v>28842077</v>
      </c>
      <c r="N888" s="948"/>
      <c r="O888" s="949"/>
      <c r="P888" s="949"/>
      <c r="Q888" s="247"/>
      <c r="R888" s="209"/>
      <c r="S888" s="247"/>
      <c r="T888" s="247"/>
      <c r="U888" s="247"/>
      <c r="V888" s="247"/>
      <c r="W888" s="247"/>
      <c r="X888" s="209"/>
      <c r="Y888" s="209"/>
      <c r="Z888" s="209"/>
      <c r="AA888" s="209"/>
    </row>
    <row r="889" spans="1:27">
      <c r="A889" s="1010"/>
      <c r="B889" s="1078"/>
      <c r="C889" s="1079"/>
      <c r="D889" s="1079"/>
      <c r="E889" s="1079"/>
      <c r="F889" s="1079"/>
      <c r="G889" s="1079"/>
      <c r="H889" s="1080"/>
      <c r="I889" s="1081">
        <v>600.1001</v>
      </c>
      <c r="J889" s="1082" t="s">
        <v>316</v>
      </c>
      <c r="K889" s="1083"/>
      <c r="L889" s="1084"/>
      <c r="M889" s="1085">
        <f>21302391-3557</f>
        <v>21298834</v>
      </c>
      <c r="N889" s="950"/>
      <c r="O889" s="949"/>
      <c r="P889" s="951"/>
      <c r="Q889" s="247"/>
      <c r="R889" s="209"/>
      <c r="S889" s="286"/>
      <c r="T889" s="286"/>
      <c r="U889" s="286"/>
      <c r="V889" s="298"/>
      <c r="W889" s="209"/>
      <c r="X889" s="247"/>
      <c r="Y889" s="247"/>
      <c r="Z889" s="247"/>
      <c r="AA889" s="247"/>
    </row>
    <row r="890" spans="1:27">
      <c r="A890" s="1010"/>
      <c r="B890" s="1078"/>
      <c r="C890" s="1079"/>
      <c r="D890" s="1079"/>
      <c r="E890" s="1079"/>
      <c r="F890" s="1079"/>
      <c r="G890" s="1079"/>
      <c r="H890" s="1080"/>
      <c r="I890" s="1081">
        <v>600.10019999999997</v>
      </c>
      <c r="J890" s="1082" t="s">
        <v>317</v>
      </c>
      <c r="K890" s="1083"/>
      <c r="L890" s="1084"/>
      <c r="M890" s="1085">
        <v>14978</v>
      </c>
      <c r="N890" s="950"/>
      <c r="O890" s="949"/>
      <c r="P890" s="951"/>
      <c r="Q890" s="247"/>
      <c r="R890" s="718"/>
      <c r="S890" s="247"/>
      <c r="T890" s="247"/>
      <c r="U890" s="247"/>
      <c r="V890" s="298"/>
      <c r="W890" s="247"/>
      <c r="X890" s="247"/>
      <c r="Y890" s="247"/>
      <c r="Z890" s="247"/>
      <c r="AA890" s="247"/>
    </row>
    <row r="891" spans="1:27">
      <c r="A891" s="1010"/>
      <c r="B891" s="1078"/>
      <c r="C891" s="1079"/>
      <c r="D891" s="1079"/>
      <c r="E891" s="1079"/>
      <c r="F891" s="1079"/>
      <c r="G891" s="1079"/>
      <c r="H891" s="1080"/>
      <c r="I891" s="1081">
        <v>600.10029999999995</v>
      </c>
      <c r="J891" s="1082" t="s">
        <v>318</v>
      </c>
      <c r="K891" s="1083"/>
      <c r="L891" s="1084"/>
      <c r="M891" s="1085">
        <v>1553748</v>
      </c>
      <c r="N891" s="950"/>
      <c r="O891" s="949"/>
      <c r="P891" s="951"/>
      <c r="Q891" s="247"/>
      <c r="R891" s="247"/>
      <c r="S891" s="247"/>
      <c r="T891" s="247"/>
      <c r="U891" s="247"/>
      <c r="V891" s="298"/>
      <c r="W891" s="247"/>
      <c r="X891" s="247"/>
      <c r="Y891" s="247"/>
      <c r="Z891" s="247"/>
      <c r="AA891" s="247"/>
    </row>
    <row r="892" spans="1:27">
      <c r="A892" s="1010"/>
      <c r="B892" s="1078"/>
      <c r="C892" s="1079"/>
      <c r="D892" s="1079"/>
      <c r="E892" s="1079"/>
      <c r="F892" s="1079"/>
      <c r="G892" s="1079"/>
      <c r="H892" s="1080"/>
      <c r="I892" s="1081">
        <v>600.10050000000001</v>
      </c>
      <c r="J892" s="1082" t="s">
        <v>475</v>
      </c>
      <c r="K892" s="1083"/>
      <c r="L892" s="1084"/>
      <c r="M892" s="1085">
        <v>5689968</v>
      </c>
      <c r="N892" s="950"/>
      <c r="O892" s="949"/>
      <c r="P892" s="951"/>
      <c r="Q892" s="718"/>
      <c r="R892" s="718"/>
      <c r="S892" s="247"/>
      <c r="T892" s="247"/>
      <c r="U892" s="247"/>
      <c r="V892" s="247"/>
      <c r="W892" s="247"/>
      <c r="X892" s="247"/>
      <c r="Y892" s="247"/>
      <c r="Z892" s="247"/>
      <c r="AA892" s="247"/>
    </row>
    <row r="893" spans="1:27">
      <c r="A893" s="1010"/>
      <c r="B893" s="1078"/>
      <c r="C893" s="1079"/>
      <c r="D893" s="1079"/>
      <c r="E893" s="1079"/>
      <c r="F893" s="1079"/>
      <c r="G893" s="1079"/>
      <c r="H893" s="1080"/>
      <c r="I893" s="1081"/>
      <c r="J893" s="1082" t="s">
        <v>326</v>
      </c>
      <c r="K893" s="1083"/>
      <c r="L893" s="1086"/>
      <c r="M893" s="1085">
        <v>284549</v>
      </c>
      <c r="N893" s="950"/>
      <c r="O893" s="949"/>
      <c r="P893" s="951"/>
      <c r="Q893" s="718"/>
      <c r="R893" s="718"/>
      <c r="S893" s="247"/>
      <c r="T893" s="247"/>
      <c r="U893" s="247"/>
      <c r="V893" s="247"/>
      <c r="W893" s="247"/>
      <c r="X893" s="247"/>
      <c r="Y893" s="247"/>
      <c r="Z893" s="247"/>
      <c r="AA893" s="247"/>
    </row>
    <row r="894" spans="1:27">
      <c r="A894" s="1010"/>
      <c r="B894" s="1087"/>
      <c r="C894" s="1079"/>
      <c r="D894" s="1079"/>
      <c r="E894" s="1079"/>
      <c r="F894" s="1079"/>
      <c r="G894" s="1079"/>
      <c r="H894" s="1080"/>
      <c r="I894" s="1081">
        <v>600.20000000000005</v>
      </c>
      <c r="J894" s="1082" t="s">
        <v>320</v>
      </c>
      <c r="K894" s="1083"/>
      <c r="L894" s="1088"/>
      <c r="M894" s="1089"/>
      <c r="N894" s="950"/>
      <c r="O894" s="949"/>
      <c r="P894" s="949"/>
      <c r="Q894" s="718"/>
      <c r="R894" s="718"/>
      <c r="S894" s="298"/>
      <c r="T894" s="247"/>
      <c r="U894" s="247"/>
      <c r="V894" s="247"/>
      <c r="W894" s="247"/>
      <c r="X894" s="247"/>
      <c r="Y894" s="247"/>
      <c r="Z894" s="247"/>
      <c r="AA894" s="247"/>
    </row>
    <row r="895" spans="1:27">
      <c r="A895" s="1010"/>
      <c r="B895" s="1087"/>
      <c r="C895" s="1079"/>
      <c r="D895" s="1079"/>
      <c r="E895" s="1079"/>
      <c r="F895" s="1079"/>
      <c r="G895" s="1079"/>
      <c r="H895" s="1080"/>
      <c r="I895" s="1081">
        <v>600.21</v>
      </c>
      <c r="J895" s="1082" t="s">
        <v>321</v>
      </c>
      <c r="K895" s="1083"/>
      <c r="L895" s="1089"/>
      <c r="M895" s="1089"/>
      <c r="N895" s="950"/>
      <c r="O895" s="951"/>
      <c r="P895" s="951"/>
      <c r="Q895" s="209"/>
      <c r="R895" s="247"/>
      <c r="S895" s="247"/>
      <c r="T895" s="247"/>
      <c r="U895" s="247"/>
      <c r="V895" s="298"/>
      <c r="W895" s="247"/>
      <c r="X895" s="247"/>
      <c r="Y895" s="247"/>
      <c r="Z895" s="247"/>
      <c r="AA895" s="247"/>
    </row>
    <row r="896" spans="1:27">
      <c r="A896" s="1010"/>
      <c r="B896" s="1087"/>
      <c r="C896" s="1079"/>
      <c r="D896" s="1079"/>
      <c r="E896" s="1079"/>
      <c r="F896" s="1079"/>
      <c r="G896" s="1079"/>
      <c r="H896" s="1080"/>
      <c r="I896" s="1081">
        <v>600.22</v>
      </c>
      <c r="J896" s="1082" t="s">
        <v>322</v>
      </c>
      <c r="K896" s="1083"/>
      <c r="L896" s="1089"/>
      <c r="M896" s="1089"/>
      <c r="N896" s="950"/>
      <c r="O896" s="952"/>
      <c r="P896" s="953"/>
      <c r="Q896" s="808"/>
      <c r="R896" s="209"/>
      <c r="S896" s="247"/>
      <c r="T896" s="247"/>
      <c r="U896" s="247"/>
      <c r="V896" s="748"/>
      <c r="W896" s="247"/>
      <c r="X896" s="247"/>
      <c r="Y896" s="247"/>
      <c r="Z896" s="247"/>
      <c r="AA896" s="247"/>
    </row>
    <row r="897" spans="1:27">
      <c r="A897" s="1010"/>
      <c r="B897" s="1087"/>
      <c r="C897" s="1079"/>
      <c r="D897" s="1079"/>
      <c r="E897" s="1079"/>
      <c r="F897" s="1079"/>
      <c r="G897" s="1079"/>
      <c r="H897" s="1080"/>
      <c r="I897" s="1081">
        <v>600.29</v>
      </c>
      <c r="J897" s="1082" t="s">
        <v>323</v>
      </c>
      <c r="K897" s="1083"/>
      <c r="L897" s="1089"/>
      <c r="M897" s="1089"/>
      <c r="N897" s="950"/>
      <c r="O897" s="950"/>
      <c r="P897" s="954"/>
      <c r="Q897" s="752"/>
      <c r="R897" s="749"/>
      <c r="S897" s="247"/>
      <c r="T897" s="247"/>
      <c r="U897" s="247"/>
      <c r="V897" s="748"/>
      <c r="W897" s="209"/>
      <c r="X897" s="247"/>
      <c r="Y897" s="247"/>
      <c r="Z897" s="247"/>
      <c r="AA897" s="247"/>
    </row>
    <row r="898" spans="1:27">
      <c r="A898" s="1010"/>
      <c r="B898" s="1087"/>
      <c r="C898" s="1079"/>
      <c r="D898" s="1079"/>
      <c r="E898" s="1079"/>
      <c r="F898" s="1079"/>
      <c r="G898" s="1079"/>
      <c r="H898" s="1080"/>
      <c r="I898" s="1081">
        <v>600.29999999999995</v>
      </c>
      <c r="J898" s="1082" t="s">
        <v>324</v>
      </c>
      <c r="K898" s="1083"/>
      <c r="L898" s="1089"/>
      <c r="M898" s="1089">
        <v>49000</v>
      </c>
      <c r="N898" s="950"/>
      <c r="O898" s="951"/>
      <c r="P898" s="949"/>
      <c r="Q898" s="752"/>
      <c r="R898" s="749"/>
      <c r="S898" s="286">
        <f>M905-M783</f>
        <v>1213696</v>
      </c>
      <c r="T898" s="209"/>
      <c r="U898" s="247"/>
      <c r="V898" s="247"/>
      <c r="W898" s="247"/>
      <c r="X898" s="247"/>
      <c r="Y898" s="247"/>
      <c r="Z898" s="247"/>
      <c r="AA898" s="247"/>
    </row>
    <row r="899" spans="1:27">
      <c r="A899" s="1010"/>
      <c r="B899" s="1087"/>
      <c r="C899" s="1079"/>
      <c r="D899" s="1079"/>
      <c r="E899" s="1079"/>
      <c r="F899" s="1079"/>
      <c r="G899" s="1079"/>
      <c r="H899" s="1080"/>
      <c r="I899" s="1081">
        <v>600.30999999999995</v>
      </c>
      <c r="J899" s="1082" t="s">
        <v>325</v>
      </c>
      <c r="K899" s="1083"/>
      <c r="L899" s="1089"/>
      <c r="M899" s="1089"/>
      <c r="N899" s="950"/>
      <c r="O899" s="950"/>
      <c r="P899" s="954"/>
      <c r="Q899" s="752"/>
      <c r="R899" s="749"/>
      <c r="S899" s="247"/>
      <c r="T899" s="784"/>
      <c r="U899" s="209"/>
      <c r="V899" s="247"/>
      <c r="W899" s="247"/>
      <c r="X899" s="247"/>
      <c r="Y899" s="247"/>
      <c r="Z899" s="247"/>
      <c r="AA899" s="247"/>
    </row>
    <row r="900" spans="1:27" ht="13.5" thickBot="1">
      <c r="A900" s="1010"/>
      <c r="B900" s="1087"/>
      <c r="C900" s="1079"/>
      <c r="D900" s="1079"/>
      <c r="E900" s="1079"/>
      <c r="F900" s="1079"/>
      <c r="G900" s="1079"/>
      <c r="H900" s="1080"/>
      <c r="I900" s="1081"/>
      <c r="J900" s="1082" t="s">
        <v>323</v>
      </c>
      <c r="K900" s="1083"/>
      <c r="L900" s="1090"/>
      <c r="M900" s="1091"/>
      <c r="N900" s="950"/>
      <c r="O900" s="950"/>
      <c r="P900" s="954"/>
      <c r="Q900" s="752"/>
      <c r="R900" s="749"/>
      <c r="S900" s="247"/>
      <c r="T900" s="784"/>
      <c r="U900" s="209"/>
      <c r="V900" s="247"/>
      <c r="W900" s="247"/>
      <c r="X900" s="247"/>
      <c r="Y900" s="247"/>
      <c r="Z900" s="247"/>
      <c r="AA900" s="247"/>
    </row>
    <row r="901" spans="1:27" ht="13.5" thickBot="1">
      <c r="A901" s="1010"/>
      <c r="B901" s="1092"/>
      <c r="C901" s="1093"/>
      <c r="D901" s="1093"/>
      <c r="E901" s="1093"/>
      <c r="F901" s="1093"/>
      <c r="G901" s="1093"/>
      <c r="H901" s="1094"/>
      <c r="I901" s="1095">
        <v>600.9</v>
      </c>
      <c r="J901" s="1096" t="s">
        <v>437</v>
      </c>
      <c r="K901" s="1097"/>
      <c r="L901" s="1098"/>
      <c r="M901" s="1099"/>
      <c r="N901" s="955"/>
      <c r="O901" s="950"/>
      <c r="P901" s="954"/>
      <c r="Q901" s="752"/>
      <c r="R901" s="807"/>
      <c r="S901" s="298"/>
      <c r="T901" s="298"/>
      <c r="U901" s="298"/>
      <c r="V901" s="786"/>
      <c r="W901" s="247"/>
      <c r="X901" s="247"/>
      <c r="Y901" s="247"/>
      <c r="Z901" s="247"/>
      <c r="AA901" s="247"/>
    </row>
    <row r="902" spans="1:27" ht="13.5" thickBot="1">
      <c r="A902" s="1010"/>
      <c r="B902" s="1063"/>
      <c r="C902" s="1064"/>
      <c r="D902" s="1064"/>
      <c r="E902" s="1064"/>
      <c r="F902" s="1064"/>
      <c r="G902" s="1064"/>
      <c r="H902" s="1065">
        <v>601</v>
      </c>
      <c r="I902" s="1066"/>
      <c r="J902" s="1067" t="s">
        <v>328</v>
      </c>
      <c r="K902" s="1068">
        <v>6660</v>
      </c>
      <c r="L902" s="1068">
        <f>SUM(L903:L904)</f>
        <v>4995</v>
      </c>
      <c r="M902" s="1069">
        <f>SUM(M903+M904)</f>
        <v>4703936</v>
      </c>
      <c r="N902" s="955"/>
      <c r="O902" s="950"/>
      <c r="P902" s="951"/>
      <c r="Q902" s="286"/>
      <c r="R902" s="298"/>
      <c r="S902" s="298"/>
      <c r="T902" s="786"/>
      <c r="U902" s="247"/>
      <c r="V902" s="247"/>
      <c r="W902" s="247"/>
      <c r="X902" s="247"/>
      <c r="Y902" s="247"/>
      <c r="Z902" s="247"/>
      <c r="AA902" s="247"/>
    </row>
    <row r="903" spans="1:27" ht="13.5">
      <c r="A903" s="1010"/>
      <c r="B903" s="1100"/>
      <c r="C903" s="1101"/>
      <c r="D903" s="1101"/>
      <c r="E903" s="1101"/>
      <c r="F903" s="1101"/>
      <c r="G903" s="1101"/>
      <c r="H903" s="1102"/>
      <c r="I903" s="1103">
        <v>601.01</v>
      </c>
      <c r="J903" s="1074" t="s">
        <v>329</v>
      </c>
      <c r="K903" s="1075">
        <f>6660-300</f>
        <v>6360</v>
      </c>
      <c r="L903" s="1104">
        <v>4995</v>
      </c>
      <c r="M903" s="1105">
        <f>3745838+480393</f>
        <v>4226231</v>
      </c>
      <c r="N903" s="948"/>
      <c r="O903" s="949"/>
      <c r="P903" s="956"/>
      <c r="Q903" s="753"/>
      <c r="R903" s="209"/>
      <c r="S903" s="298"/>
      <c r="T903" s="790"/>
      <c r="U903" s="247"/>
      <c r="V903" s="247"/>
      <c r="W903" s="209"/>
      <c r="X903" s="209"/>
      <c r="Y903" s="209"/>
      <c r="Z903" s="209"/>
      <c r="AA903" s="209"/>
    </row>
    <row r="904" spans="1:27" ht="14.25" thickBot="1">
      <c r="A904" s="1010"/>
      <c r="B904" s="1092"/>
      <c r="C904" s="1093"/>
      <c r="D904" s="1093"/>
      <c r="E904" s="1093"/>
      <c r="F904" s="1093"/>
      <c r="G904" s="1093"/>
      <c r="H904" s="1094"/>
      <c r="I904" s="1106">
        <v>601.11</v>
      </c>
      <c r="J904" s="1096" t="s">
        <v>330</v>
      </c>
      <c r="K904" s="1107"/>
      <c r="L904" s="1108"/>
      <c r="M904" s="1105">
        <f>424374+53331</f>
        <v>477705</v>
      </c>
      <c r="N904" s="950">
        <f>O904/2</f>
        <v>53331</v>
      </c>
      <c r="O904" s="957">
        <v>106662</v>
      </c>
      <c r="P904" s="951"/>
      <c r="Q904" s="298"/>
      <c r="R904" s="247"/>
      <c r="S904" s="298"/>
      <c r="T904" s="790"/>
      <c r="V904" s="247"/>
      <c r="W904" s="247"/>
      <c r="X904" s="247"/>
      <c r="Y904" s="247"/>
      <c r="Z904" s="247"/>
      <c r="AA904" s="247"/>
    </row>
    <row r="905" spans="1:27" ht="13.5" thickBot="1">
      <c r="A905" s="1010"/>
      <c r="B905" s="1109"/>
      <c r="C905" s="1110"/>
      <c r="D905" s="1110"/>
      <c r="E905" s="1110"/>
      <c r="F905" s="1110"/>
      <c r="G905" s="1110"/>
      <c r="H905" s="1065">
        <v>602</v>
      </c>
      <c r="I905" s="1111"/>
      <c r="J905" s="1067" t="s">
        <v>170</v>
      </c>
      <c r="K905" s="1112">
        <f>SUM(K906+K913+K926+K941+K946+K949+K958+K964+K971+K974)</f>
        <v>21200</v>
      </c>
      <c r="L905" s="1112">
        <f>SUM(L906+L913+L926+L941+L946+L949+L958+L964+L971+L974)</f>
        <v>18200</v>
      </c>
      <c r="M905" s="1113">
        <f>SUM(M906+M913+M926+M941+M946+M949+M958+M964+M971+M974)</f>
        <v>18183169</v>
      </c>
      <c r="N905" s="948"/>
      <c r="O905" s="957"/>
      <c r="P905" s="951"/>
      <c r="Q905" s="793"/>
      <c r="R905" s="247"/>
      <c r="S905" s="247"/>
      <c r="T905" s="247"/>
      <c r="U905" s="247"/>
      <c r="V905" s="247"/>
      <c r="W905" s="247"/>
      <c r="X905" s="247"/>
      <c r="Y905" s="247"/>
      <c r="Z905" s="247"/>
      <c r="AA905" s="247"/>
    </row>
    <row r="906" spans="1:27" ht="13.5" thickBot="1">
      <c r="A906" s="1010"/>
      <c r="B906" s="1114"/>
      <c r="C906" s="1115"/>
      <c r="D906" s="1115"/>
      <c r="E906" s="1115"/>
      <c r="F906" s="1115"/>
      <c r="G906" s="1115"/>
      <c r="H906" s="1116"/>
      <c r="I906" s="1117">
        <v>6020</v>
      </c>
      <c r="J906" s="1118" t="s">
        <v>331</v>
      </c>
      <c r="K906" s="1119">
        <v>21200</v>
      </c>
      <c r="L906" s="1119">
        <v>18200</v>
      </c>
      <c r="M906" s="1120">
        <f>SUM(M907+M908+M909+M910+M911+M912)</f>
        <v>1488120</v>
      </c>
      <c r="N906" s="958"/>
      <c r="O906" s="959"/>
      <c r="P906" s="956"/>
      <c r="Q906" s="806"/>
      <c r="R906" s="319"/>
      <c r="S906" s="682"/>
      <c r="T906" s="319"/>
      <c r="U906" s="298"/>
      <c r="V906" s="298"/>
      <c r="W906" s="247"/>
      <c r="X906" s="247"/>
      <c r="Y906" s="319"/>
      <c r="Z906" s="319"/>
      <c r="AA906" s="319"/>
    </row>
    <row r="907" spans="1:27">
      <c r="A907" s="1010"/>
      <c r="B907" s="1121"/>
      <c r="C907" s="1122"/>
      <c r="D907" s="1122"/>
      <c r="E907" s="1122"/>
      <c r="F907" s="1122"/>
      <c r="G907" s="1122"/>
      <c r="H907" s="1123"/>
      <c r="I907" s="1124" t="s">
        <v>11</v>
      </c>
      <c r="J907" s="1125" t="s">
        <v>172</v>
      </c>
      <c r="K907" s="1126"/>
      <c r="L907" s="1127"/>
      <c r="M907" s="1127">
        <f>383600+9900</f>
        <v>393500</v>
      </c>
      <c r="N907" s="960"/>
      <c r="O907" s="961"/>
      <c r="P907" s="951"/>
      <c r="Q907" s="799"/>
      <c r="V907" s="298"/>
      <c r="W907" s="247"/>
      <c r="X907" s="247"/>
    </row>
    <row r="908" spans="1:27">
      <c r="A908" s="1010"/>
      <c r="B908" s="1128"/>
      <c r="C908" s="1129"/>
      <c r="D908" s="1129"/>
      <c r="E908" s="1129"/>
      <c r="F908" s="1129"/>
      <c r="G908" s="1129"/>
      <c r="H908" s="1130"/>
      <c r="I908" s="1131">
        <v>602.02</v>
      </c>
      <c r="J908" s="699" t="s">
        <v>332</v>
      </c>
      <c r="K908" s="1132"/>
      <c r="L908" s="1133"/>
      <c r="M908" s="1133">
        <v>169440</v>
      </c>
      <c r="N908" s="962"/>
      <c r="O908" s="961"/>
      <c r="P908" s="952"/>
      <c r="Q908" s="947"/>
      <c r="S908" s="682"/>
      <c r="V908" s="298"/>
      <c r="W908" s="247"/>
      <c r="X908" s="247"/>
    </row>
    <row r="909" spans="1:27">
      <c r="A909" s="1010"/>
      <c r="B909" s="1134"/>
      <c r="C909" s="1135"/>
      <c r="D909" s="1135"/>
      <c r="E909" s="1135"/>
      <c r="F909" s="1135"/>
      <c r="G909" s="1135"/>
      <c r="H909" s="1136"/>
      <c r="I909" s="1081">
        <v>602.03</v>
      </c>
      <c r="J909" s="700" t="s">
        <v>528</v>
      </c>
      <c r="K909" s="1137"/>
      <c r="L909" s="1138"/>
      <c r="M909" s="1138">
        <f>357000</f>
        <v>357000</v>
      </c>
      <c r="N909" s="962"/>
      <c r="O909" s="961"/>
      <c r="P909" s="961"/>
      <c r="Q909" s="800"/>
    </row>
    <row r="910" spans="1:27">
      <c r="A910" s="1011"/>
      <c r="B910" s="1134"/>
      <c r="C910" s="1135"/>
      <c r="D910" s="1135"/>
      <c r="E910" s="1135"/>
      <c r="F910" s="1135"/>
      <c r="G910" s="1135"/>
      <c r="H910" s="1136"/>
      <c r="I910" s="1081">
        <v>602.04</v>
      </c>
      <c r="J910" s="700" t="s">
        <v>334</v>
      </c>
      <c r="K910" s="1137"/>
      <c r="L910" s="1138"/>
      <c r="M910" s="1138"/>
      <c r="N910" s="962"/>
      <c r="O910" s="952"/>
      <c r="P910" s="961"/>
      <c r="Q910" s="800"/>
    </row>
    <row r="911" spans="1:27">
      <c r="A911" s="1011"/>
      <c r="B911" s="1134"/>
      <c r="C911" s="1135"/>
      <c r="D911" s="1135"/>
      <c r="E911" s="1135"/>
      <c r="F911" s="1135"/>
      <c r="G911" s="1135"/>
      <c r="H911" s="1136"/>
      <c r="I911" s="1081">
        <v>602.04999999999995</v>
      </c>
      <c r="J911" s="700" t="s">
        <v>529</v>
      </c>
      <c r="K911" s="1137"/>
      <c r="L911" s="1138"/>
      <c r="M911" s="1138">
        <f>354600+35500</f>
        <v>390100</v>
      </c>
      <c r="N911" s="962"/>
      <c r="O911" s="954"/>
      <c r="P911" s="961"/>
      <c r="Q911" s="800"/>
    </row>
    <row r="912" spans="1:27" ht="13.5" thickBot="1">
      <c r="A912" s="1011"/>
      <c r="B912" s="1139"/>
      <c r="C912" s="1140"/>
      <c r="D912" s="1140"/>
      <c r="E912" s="1140"/>
      <c r="F912" s="1140"/>
      <c r="G912" s="1140"/>
      <c r="H912" s="1141"/>
      <c r="I912" s="1095">
        <v>602.09</v>
      </c>
      <c r="J912" s="1142" t="s">
        <v>530</v>
      </c>
      <c r="K912" s="1143"/>
      <c r="L912" s="1144"/>
      <c r="M912" s="1144">
        <v>178080</v>
      </c>
      <c r="N912" s="962"/>
      <c r="O912" s="952"/>
      <c r="P912" s="961"/>
      <c r="Q912" s="800"/>
    </row>
    <row r="913" spans="1:19" ht="13.5" thickBot="1">
      <c r="A913" s="1011"/>
      <c r="B913" s="1114"/>
      <c r="C913" s="1115"/>
      <c r="D913" s="1115"/>
      <c r="E913" s="1115"/>
      <c r="F913" s="1115"/>
      <c r="G913" s="1115"/>
      <c r="H913" s="1116"/>
      <c r="I913" s="1117">
        <v>602.1</v>
      </c>
      <c r="J913" s="1118" t="s">
        <v>336</v>
      </c>
      <c r="K913" s="1145">
        <f>SUM(K914+K915+K916+K917+K918+K919+K920+K921+K922+K923+K924+K925)</f>
        <v>0</v>
      </c>
      <c r="L913" s="1146">
        <f>SUM(L914+L915+L916+L917+L918+L919+L920+L921+L922+L923+L924+L925)</f>
        <v>0</v>
      </c>
      <c r="M913" s="1146">
        <f>SUM(M914+M915+M916+M917+M918+M919+M920+M921+M922+M923+M924+M925)</f>
        <v>783369</v>
      </c>
      <c r="N913" s="963"/>
      <c r="O913" s="961"/>
      <c r="P913" s="951"/>
      <c r="Q913" s="800"/>
      <c r="S913" s="682"/>
    </row>
    <row r="914" spans="1:19">
      <c r="A914" s="1011"/>
      <c r="B914" s="1128"/>
      <c r="C914" s="1129"/>
      <c r="D914" s="1129"/>
      <c r="E914" s="1129"/>
      <c r="F914" s="1129"/>
      <c r="G914" s="1129"/>
      <c r="H914" s="1130"/>
      <c r="I914" s="1147">
        <v>602.1001</v>
      </c>
      <c r="J914" s="699" t="s">
        <v>337</v>
      </c>
      <c r="K914" s="1132"/>
      <c r="L914" s="1133"/>
      <c r="M914" s="1133"/>
      <c r="N914" s="963"/>
      <c r="O914" s="961"/>
      <c r="P914" s="951"/>
      <c r="Q914" s="801"/>
    </row>
    <row r="915" spans="1:19">
      <c r="A915" s="1011"/>
      <c r="B915" s="1134"/>
      <c r="C915" s="1135"/>
      <c r="D915" s="1135"/>
      <c r="E915" s="1135"/>
      <c r="F915" s="1135"/>
      <c r="G915" s="1135"/>
      <c r="H915" s="1136"/>
      <c r="I915" s="1148">
        <v>602.10019999999997</v>
      </c>
      <c r="J915" s="700" t="s">
        <v>338</v>
      </c>
      <c r="K915" s="1137"/>
      <c r="L915" s="1138"/>
      <c r="M915" s="1138"/>
      <c r="N915" s="962"/>
      <c r="O915" s="961">
        <v>4703936</v>
      </c>
      <c r="P915" s="951"/>
      <c r="Q915" s="800"/>
    </row>
    <row r="916" spans="1:19">
      <c r="A916" s="1011"/>
      <c r="B916" s="1134"/>
      <c r="C916" s="1135"/>
      <c r="D916" s="1135"/>
      <c r="E916" s="1135"/>
      <c r="F916" s="1135"/>
      <c r="G916" s="1135"/>
      <c r="H916" s="1136"/>
      <c r="I916" s="1148">
        <v>602.10029999999995</v>
      </c>
      <c r="J916" s="700" t="s">
        <v>339</v>
      </c>
      <c r="K916" s="1137"/>
      <c r="L916" s="1138"/>
      <c r="M916" s="1138"/>
      <c r="N916" s="962"/>
      <c r="O916" s="961"/>
      <c r="P916" s="951"/>
      <c r="Q916" s="800"/>
    </row>
    <row r="917" spans="1:19">
      <c r="A917" s="1011"/>
      <c r="B917" s="1134"/>
      <c r="C917" s="1135"/>
      <c r="D917" s="1135"/>
      <c r="E917" s="1135"/>
      <c r="F917" s="1135"/>
      <c r="G917" s="1135"/>
      <c r="H917" s="1136"/>
      <c r="I917" s="1148">
        <v>602.10040000000004</v>
      </c>
      <c r="J917" s="700" t="s">
        <v>340</v>
      </c>
      <c r="K917" s="1137"/>
      <c r="L917" s="1138"/>
      <c r="M917" s="1138"/>
      <c r="N917" s="962"/>
      <c r="O917" s="961"/>
      <c r="P917" s="961"/>
      <c r="Q917" s="800"/>
    </row>
    <row r="918" spans="1:19">
      <c r="A918" s="1011"/>
      <c r="B918" s="1134"/>
      <c r="C918" s="1135"/>
      <c r="D918" s="1135"/>
      <c r="E918" s="1135"/>
      <c r="F918" s="1135"/>
      <c r="G918" s="1135"/>
      <c r="H918" s="1136"/>
      <c r="I918" s="1148">
        <v>602.10050000000001</v>
      </c>
      <c r="J918" s="700" t="s">
        <v>341</v>
      </c>
      <c r="K918" s="1137"/>
      <c r="L918" s="1138"/>
      <c r="M918" s="1138"/>
      <c r="N918" s="962"/>
      <c r="O918" s="961"/>
      <c r="P918" s="961"/>
      <c r="Q918" s="800"/>
    </row>
    <row r="919" spans="1:19">
      <c r="A919" s="1011"/>
      <c r="B919" s="1134"/>
      <c r="C919" s="1135"/>
      <c r="D919" s="1135"/>
      <c r="E919" s="1135"/>
      <c r="F919" s="1135"/>
      <c r="G919" s="1135"/>
      <c r="H919" s="1136"/>
      <c r="I919" s="1148">
        <v>602.10059999999999</v>
      </c>
      <c r="J919" s="700" t="s">
        <v>342</v>
      </c>
      <c r="K919" s="1137"/>
      <c r="L919" s="1138"/>
      <c r="M919" s="1138"/>
      <c r="N919" s="962"/>
      <c r="O919" s="961"/>
      <c r="P919" s="961"/>
      <c r="Q919" s="800"/>
    </row>
    <row r="920" spans="1:19">
      <c r="A920" s="1011"/>
      <c r="B920" s="1134"/>
      <c r="C920" s="1135"/>
      <c r="D920" s="1135"/>
      <c r="E920" s="1135"/>
      <c r="F920" s="1135"/>
      <c r="G920" s="1135"/>
      <c r="H920" s="1136"/>
      <c r="I920" s="1148">
        <v>602.10069999999996</v>
      </c>
      <c r="J920" s="700" t="s">
        <v>469</v>
      </c>
      <c r="K920" s="1137"/>
      <c r="L920" s="1138"/>
      <c r="M920" s="1138">
        <v>395000</v>
      </c>
      <c r="N920" s="962"/>
      <c r="O920" s="961"/>
      <c r="P920" s="961"/>
      <c r="Q920" s="800"/>
    </row>
    <row r="921" spans="1:19">
      <c r="A921" s="1011"/>
      <c r="B921" s="1134"/>
      <c r="C921" s="1135"/>
      <c r="D921" s="1135"/>
      <c r="E921" s="1135"/>
      <c r="F921" s="1135"/>
      <c r="G921" s="1135"/>
      <c r="H921" s="1136"/>
      <c r="I921" s="1148">
        <v>602.10080000000005</v>
      </c>
      <c r="J921" s="700" t="s">
        <v>343</v>
      </c>
      <c r="K921" s="1137"/>
      <c r="L921" s="1138"/>
      <c r="M921" s="1138"/>
      <c r="N921" s="962"/>
      <c r="O921" s="964">
        <f>O915-M902</f>
        <v>0</v>
      </c>
      <c r="P921" s="964"/>
      <c r="Q921" s="800"/>
    </row>
    <row r="922" spans="1:19">
      <c r="A922" s="1011"/>
      <c r="B922" s="1134"/>
      <c r="C922" s="1135"/>
      <c r="D922" s="1135"/>
      <c r="E922" s="1135"/>
      <c r="F922" s="1135"/>
      <c r="G922" s="1135"/>
      <c r="H922" s="1136"/>
      <c r="I922" s="1148">
        <v>602.10090000000002</v>
      </c>
      <c r="J922" s="700" t="s">
        <v>344</v>
      </c>
      <c r="K922" s="1149"/>
      <c r="L922" s="1150"/>
      <c r="M922" s="1150"/>
      <c r="N922" s="962"/>
      <c r="O922" s="964">
        <f>O921-N904</f>
        <v>-53331</v>
      </c>
      <c r="P922" s="961"/>
      <c r="Q922" s="800"/>
    </row>
    <row r="923" spans="1:19">
      <c r="A923" s="1011"/>
      <c r="B923" s="1134"/>
      <c r="C923" s="1135"/>
      <c r="D923" s="1135"/>
      <c r="E923" s="1135"/>
      <c r="F923" s="1135"/>
      <c r="G923" s="1135"/>
      <c r="H923" s="1136"/>
      <c r="I923" s="1148">
        <v>602.101</v>
      </c>
      <c r="J923" s="700" t="s">
        <v>345</v>
      </c>
      <c r="K923" s="1149"/>
      <c r="L923" s="1150"/>
      <c r="M923" s="1150"/>
      <c r="N923" s="965"/>
      <c r="O923" s="961"/>
      <c r="P923" s="961"/>
      <c r="Q923" s="802"/>
    </row>
    <row r="924" spans="1:19">
      <c r="A924" s="1011"/>
      <c r="B924" s="1134"/>
      <c r="C924" s="1135"/>
      <c r="D924" s="1135"/>
      <c r="E924" s="1135"/>
      <c r="F924" s="1135"/>
      <c r="G924" s="1135"/>
      <c r="H924" s="1136"/>
      <c r="I924" s="1081">
        <v>602.10109999999997</v>
      </c>
      <c r="J924" s="700" t="s">
        <v>490</v>
      </c>
      <c r="K924" s="1149"/>
      <c r="L924" s="1150"/>
      <c r="M924" s="1150">
        <v>244776</v>
      </c>
      <c r="N924" s="965"/>
      <c r="O924" s="961"/>
      <c r="P924" s="961"/>
      <c r="Q924" s="802"/>
    </row>
    <row r="925" spans="1:19" ht="13.5" thickBot="1">
      <c r="A925" s="1011"/>
      <c r="B925" s="1151"/>
      <c r="C925" s="1152"/>
      <c r="D925" s="1152"/>
      <c r="E925" s="1152"/>
      <c r="F925" s="1152"/>
      <c r="G925" s="1152"/>
      <c r="H925" s="1153"/>
      <c r="I925" s="1154">
        <v>602.10990000000004</v>
      </c>
      <c r="J925" s="701" t="s">
        <v>468</v>
      </c>
      <c r="K925" s="1155"/>
      <c r="L925" s="1156"/>
      <c r="M925" s="1156">
        <v>143593</v>
      </c>
      <c r="N925" s="965"/>
      <c r="O925" s="964"/>
      <c r="P925" s="961"/>
      <c r="Q925" s="802"/>
    </row>
    <row r="926" spans="1:19" ht="13.5" thickBot="1">
      <c r="A926" s="1011"/>
      <c r="B926" s="1114"/>
      <c r="C926" s="1115"/>
      <c r="D926" s="1115"/>
      <c r="E926" s="1115"/>
      <c r="F926" s="1115"/>
      <c r="G926" s="1115"/>
      <c r="H926" s="1116"/>
      <c r="I926" s="1117">
        <v>602.20000000000005</v>
      </c>
      <c r="J926" s="1118" t="s">
        <v>348</v>
      </c>
      <c r="K926" s="1145">
        <f>SUM(K927+K928+K929+K930+K931+K932+K933+K934+K935+K936+K937+K938+K939+K940)</f>
        <v>0</v>
      </c>
      <c r="L926" s="1157">
        <f>SUM(L927+L928+L929+L932+L933+L934+L935+L936+L937+L938+L939+L940)</f>
        <v>0</v>
      </c>
      <c r="M926" s="1157">
        <f>SUM(M927+M928+M929+M932+M933+M934+M935+M936+M937+M938+M939+M940)</f>
        <v>2566384</v>
      </c>
      <c r="N926" s="966"/>
      <c r="O926" s="961"/>
      <c r="P926" s="961"/>
      <c r="Q926" s="802"/>
      <c r="S926" s="682"/>
    </row>
    <row r="927" spans="1:19">
      <c r="A927" s="1011"/>
      <c r="B927" s="1128"/>
      <c r="C927" s="1129"/>
      <c r="D927" s="1129"/>
      <c r="E927" s="1129"/>
      <c r="F927" s="1129"/>
      <c r="G927" s="1129"/>
      <c r="H927" s="1130"/>
      <c r="I927" s="1131">
        <v>602.20010000000002</v>
      </c>
      <c r="J927" s="699" t="s">
        <v>192</v>
      </c>
      <c r="K927" s="1158"/>
      <c r="L927" s="1159"/>
      <c r="M927" s="1159">
        <f>839908-7680</f>
        <v>832228</v>
      </c>
      <c r="N927" s="958"/>
      <c r="O927" s="964"/>
      <c r="P927" s="964"/>
      <c r="Q927" s="799"/>
    </row>
    <row r="928" spans="1:19">
      <c r="A928" s="1011"/>
      <c r="B928" s="1134"/>
      <c r="C928" s="1135"/>
      <c r="D928" s="1135"/>
      <c r="E928" s="1135"/>
      <c r="F928" s="1135"/>
      <c r="G928" s="1135"/>
      <c r="H928" s="1136"/>
      <c r="I928" s="1081">
        <v>602.2002</v>
      </c>
      <c r="J928" s="700" t="s">
        <v>349</v>
      </c>
      <c r="K928" s="1149"/>
      <c r="L928" s="1150">
        <v>0</v>
      </c>
      <c r="M928" s="1150">
        <v>0</v>
      </c>
      <c r="N928" s="954"/>
      <c r="O928" s="961"/>
      <c r="P928" s="961"/>
      <c r="Q928" s="803"/>
    </row>
    <row r="929" spans="1:20">
      <c r="A929" s="1011"/>
      <c r="B929" s="1134"/>
      <c r="C929" s="1135"/>
      <c r="D929" s="1135"/>
      <c r="E929" s="1135"/>
      <c r="F929" s="1135"/>
      <c r="G929" s="1135"/>
      <c r="H929" s="1136"/>
      <c r="I929" s="1081">
        <v>602.20029999999997</v>
      </c>
      <c r="J929" s="700" t="s">
        <v>350</v>
      </c>
      <c r="K929" s="1149"/>
      <c r="L929" s="1160">
        <f>L930+L931</f>
        <v>0</v>
      </c>
      <c r="M929" s="1160">
        <f>M930+M931</f>
        <v>480113</v>
      </c>
      <c r="N929" s="967"/>
      <c r="O929" s="961"/>
      <c r="P929" s="961"/>
      <c r="Q929" s="802"/>
      <c r="S929" s="682"/>
    </row>
    <row r="930" spans="1:20">
      <c r="A930" s="1011"/>
      <c r="B930" s="1134"/>
      <c r="C930" s="1135"/>
      <c r="D930" s="1135"/>
      <c r="E930" s="1135"/>
      <c r="F930" s="1135"/>
      <c r="G930" s="1135"/>
      <c r="H930" s="1136"/>
      <c r="I930" s="1081"/>
      <c r="J930" s="1161" t="s">
        <v>473</v>
      </c>
      <c r="K930" s="1149"/>
      <c r="L930" s="1162"/>
      <c r="M930" s="1163">
        <v>360113</v>
      </c>
      <c r="N930" s="967"/>
      <c r="O930" s="964"/>
      <c r="P930" s="961"/>
      <c r="Q930" s="804"/>
    </row>
    <row r="931" spans="1:20">
      <c r="A931" s="1011"/>
      <c r="B931" s="1134"/>
      <c r="C931" s="1135"/>
      <c r="D931" s="1135"/>
      <c r="E931" s="1135"/>
      <c r="F931" s="1135"/>
      <c r="G931" s="1135"/>
      <c r="H931" s="1136"/>
      <c r="I931" s="1081"/>
      <c r="J931" s="1164" t="s">
        <v>474</v>
      </c>
      <c r="K931" s="1149"/>
      <c r="L931" s="1150"/>
      <c r="M931" s="1165">
        <v>120000</v>
      </c>
      <c r="N931" s="968"/>
      <c r="O931" s="961"/>
      <c r="P931" s="968"/>
      <c r="Q931" s="750"/>
    </row>
    <row r="932" spans="1:20">
      <c r="A932" s="1011"/>
      <c r="B932" s="1134"/>
      <c r="C932" s="1135"/>
      <c r="D932" s="1135"/>
      <c r="E932" s="1135"/>
      <c r="F932" s="1135"/>
      <c r="G932" s="1135"/>
      <c r="H932" s="1136"/>
      <c r="I932" s="1081">
        <v>602.20039999999995</v>
      </c>
      <c r="J932" s="700" t="s">
        <v>351</v>
      </c>
      <c r="K932" s="1149"/>
      <c r="L932" s="1166"/>
      <c r="M932" s="1166">
        <v>260820</v>
      </c>
      <c r="N932" s="969"/>
      <c r="O932" s="964"/>
      <c r="P932" s="969"/>
      <c r="Q932" s="751"/>
      <c r="S932" s="682"/>
    </row>
    <row r="933" spans="1:20">
      <c r="A933" s="1011"/>
      <c r="B933" s="1134"/>
      <c r="C933" s="1135"/>
      <c r="D933" s="1135"/>
      <c r="E933" s="1135"/>
      <c r="F933" s="1135"/>
      <c r="G933" s="1135"/>
      <c r="H933" s="1136"/>
      <c r="I933" s="1081">
        <v>602.20050000000003</v>
      </c>
      <c r="J933" s="700" t="s">
        <v>352</v>
      </c>
      <c r="K933" s="1149"/>
      <c r="L933" s="1150"/>
      <c r="M933" s="1150"/>
      <c r="N933" s="952"/>
      <c r="O933" s="961"/>
      <c r="P933" s="961"/>
      <c r="Q933" s="703"/>
    </row>
    <row r="934" spans="1:20">
      <c r="A934" s="1011"/>
      <c r="B934" s="1134"/>
      <c r="C934" s="1135"/>
      <c r="D934" s="1135"/>
      <c r="E934" s="1135"/>
      <c r="F934" s="1135"/>
      <c r="G934" s="1135"/>
      <c r="H934" s="1136"/>
      <c r="I934" s="1081">
        <v>602.20060000000001</v>
      </c>
      <c r="J934" s="700" t="s">
        <v>353</v>
      </c>
      <c r="K934" s="1149"/>
      <c r="L934" s="1150"/>
      <c r="M934" s="1150"/>
      <c r="N934" s="965"/>
      <c r="O934" s="970"/>
      <c r="P934" s="971"/>
      <c r="Q934" s="802"/>
      <c r="S934" s="512"/>
      <c r="T934" s="512"/>
    </row>
    <row r="935" spans="1:20">
      <c r="A935" s="1011"/>
      <c r="B935" s="1134"/>
      <c r="C935" s="1135"/>
      <c r="D935" s="1135"/>
      <c r="E935" s="1135"/>
      <c r="F935" s="1135"/>
      <c r="G935" s="1135"/>
      <c r="H935" s="1136"/>
      <c r="I935" s="1081">
        <v>602.20069999999998</v>
      </c>
      <c r="J935" s="700" t="s">
        <v>354</v>
      </c>
      <c r="K935" s="1149"/>
      <c r="L935" s="1167"/>
      <c r="M935" s="1167">
        <v>250</v>
      </c>
      <c r="N935" s="965"/>
      <c r="O935" s="971"/>
      <c r="P935" s="971"/>
      <c r="Q935" s="802"/>
    </row>
    <row r="936" spans="1:20">
      <c r="A936" s="1011"/>
      <c r="B936" s="1134"/>
      <c r="C936" s="1135"/>
      <c r="D936" s="1135"/>
      <c r="E936" s="1135"/>
      <c r="F936" s="1135"/>
      <c r="G936" s="1135"/>
      <c r="H936" s="1136"/>
      <c r="I936" s="1081">
        <v>602.20079999999996</v>
      </c>
      <c r="J936" s="700" t="s">
        <v>355</v>
      </c>
      <c r="K936" s="1149"/>
      <c r="L936" s="1150"/>
      <c r="M936" s="1150">
        <v>715158</v>
      </c>
      <c r="N936" s="965"/>
      <c r="O936" s="964"/>
      <c r="P936" s="971"/>
      <c r="Q936" s="802"/>
      <c r="S936" s="682"/>
    </row>
    <row r="937" spans="1:20">
      <c r="A937" s="1011"/>
      <c r="B937" s="1134"/>
      <c r="C937" s="1135"/>
      <c r="D937" s="1135"/>
      <c r="E937" s="1135"/>
      <c r="F937" s="1135"/>
      <c r="G937" s="1135"/>
      <c r="H937" s="1136"/>
      <c r="I937" s="1081">
        <v>602.20090000000005</v>
      </c>
      <c r="J937" s="700" t="s">
        <v>356</v>
      </c>
      <c r="K937" s="1149"/>
      <c r="L937" s="1150"/>
      <c r="M937" s="1150"/>
      <c r="N937" s="965"/>
      <c r="O937" s="971"/>
      <c r="P937" s="971"/>
      <c r="Q937" s="802"/>
    </row>
    <row r="938" spans="1:20">
      <c r="A938" s="1011"/>
      <c r="B938" s="1134"/>
      <c r="C938" s="1135"/>
      <c r="D938" s="1135"/>
      <c r="E938" s="1135"/>
      <c r="F938" s="1135"/>
      <c r="G938" s="1135"/>
      <c r="H938" s="1136"/>
      <c r="I938" s="1081">
        <v>602.20100000000002</v>
      </c>
      <c r="J938" s="700" t="s">
        <v>357</v>
      </c>
      <c r="K938" s="1149"/>
      <c r="L938" s="1150"/>
      <c r="M938" s="1150">
        <v>33747</v>
      </c>
      <c r="N938" s="965"/>
      <c r="O938" s="971"/>
      <c r="P938" s="971"/>
      <c r="Q938" s="802"/>
    </row>
    <row r="939" spans="1:20">
      <c r="A939" s="1011"/>
      <c r="B939" s="1134"/>
      <c r="C939" s="1135"/>
      <c r="D939" s="1135"/>
      <c r="E939" s="1135"/>
      <c r="F939" s="1135"/>
      <c r="G939" s="1135"/>
      <c r="H939" s="1136"/>
      <c r="I939" s="1081">
        <v>602.20110000000102</v>
      </c>
      <c r="J939" s="700" t="s">
        <v>204</v>
      </c>
      <c r="K939" s="1149"/>
      <c r="L939" s="1150"/>
      <c r="M939" s="1150">
        <v>68400</v>
      </c>
      <c r="N939" s="965"/>
      <c r="O939" s="971"/>
      <c r="P939" s="971"/>
      <c r="Q939" s="802"/>
    </row>
    <row r="940" spans="1:20" ht="13.5" thickBot="1">
      <c r="A940" s="1011"/>
      <c r="B940" s="1139"/>
      <c r="C940" s="1140"/>
      <c r="D940" s="1140"/>
      <c r="E940" s="1140"/>
      <c r="F940" s="1140"/>
      <c r="G940" s="1140"/>
      <c r="H940" s="1141"/>
      <c r="I940" s="1095">
        <v>602.20989999999995</v>
      </c>
      <c r="J940" s="1142" t="s">
        <v>531</v>
      </c>
      <c r="K940" s="1168"/>
      <c r="L940" s="1156"/>
      <c r="M940" s="1156">
        <v>175668</v>
      </c>
      <c r="N940" s="965"/>
      <c r="O940" s="971"/>
      <c r="P940" s="971"/>
      <c r="Q940" s="802"/>
    </row>
    <row r="941" spans="1:20" ht="13.5" thickBot="1">
      <c r="A941" s="1011"/>
      <c r="B941" s="1114"/>
      <c r="C941" s="1115"/>
      <c r="D941" s="1115"/>
      <c r="E941" s="1115"/>
      <c r="F941" s="1115"/>
      <c r="G941" s="1115"/>
      <c r="H941" s="1116"/>
      <c r="I941" s="1117">
        <v>6023</v>
      </c>
      <c r="J941" s="1118" t="s">
        <v>206</v>
      </c>
      <c r="K941" s="1145">
        <f>SUM(K942+K943+K944+K945)</f>
        <v>0</v>
      </c>
      <c r="L941" s="1120">
        <f>SUM(L942+L943+L944+L945)</f>
        <v>0</v>
      </c>
      <c r="M941" s="1120">
        <f>SUM(M942:M945)</f>
        <v>1382570</v>
      </c>
      <c r="N941" s="958"/>
      <c r="O941" s="971"/>
      <c r="P941" s="971"/>
      <c r="Q941" s="802"/>
      <c r="S941" s="682"/>
    </row>
    <row r="942" spans="1:20">
      <c r="A942" s="1011"/>
      <c r="B942" s="1128"/>
      <c r="C942" s="1129"/>
      <c r="D942" s="1129"/>
      <c r="E942" s="1129"/>
      <c r="F942" s="1129"/>
      <c r="G942" s="1129"/>
      <c r="H942" s="1130"/>
      <c r="I942" s="1131">
        <v>602.30999999999995</v>
      </c>
      <c r="J942" s="699" t="s">
        <v>207</v>
      </c>
      <c r="K942" s="1158"/>
      <c r="L942" s="1169"/>
      <c r="M942" s="1169">
        <v>966930</v>
      </c>
      <c r="N942" s="958"/>
      <c r="O942" s="971"/>
      <c r="P942" s="971"/>
      <c r="Q942" s="799"/>
    </row>
    <row r="943" spans="1:20">
      <c r="A943" s="1011"/>
      <c r="B943" s="1134"/>
      <c r="C943" s="1135"/>
      <c r="D943" s="1135"/>
      <c r="E943" s="1135"/>
      <c r="F943" s="1135"/>
      <c r="G943" s="1135"/>
      <c r="H943" s="1136"/>
      <c r="I943" s="1081">
        <v>602.32000000000005</v>
      </c>
      <c r="J943" s="700" t="s">
        <v>359</v>
      </c>
      <c r="K943" s="1149"/>
      <c r="L943" s="1150"/>
      <c r="M943" s="1150">
        <v>403640</v>
      </c>
      <c r="N943" s="967"/>
      <c r="O943" s="971"/>
      <c r="P943" s="971"/>
      <c r="Q943" s="802"/>
      <c r="S943" s="682"/>
    </row>
    <row r="944" spans="1:20">
      <c r="A944" s="1011"/>
      <c r="B944" s="1134"/>
      <c r="C944" s="1135"/>
      <c r="D944" s="1135"/>
      <c r="E944" s="1135"/>
      <c r="F944" s="1135"/>
      <c r="G944" s="1135"/>
      <c r="H944" s="1136"/>
      <c r="I944" s="1081">
        <v>602.33000000000004</v>
      </c>
      <c r="J944" s="700" t="s">
        <v>360</v>
      </c>
      <c r="K944" s="1149"/>
      <c r="L944" s="1150"/>
      <c r="M944" s="1150">
        <v>12000</v>
      </c>
      <c r="N944" s="965"/>
      <c r="O944" s="971"/>
      <c r="P944" s="961"/>
      <c r="Q944" s="802"/>
    </row>
    <row r="945" spans="1:19" ht="13.5" thickBot="1">
      <c r="A945" s="1011"/>
      <c r="B945" s="1139"/>
      <c r="C945" s="1140"/>
      <c r="D945" s="1140"/>
      <c r="E945" s="1140"/>
      <c r="F945" s="1140"/>
      <c r="G945" s="1140"/>
      <c r="H945" s="1141"/>
      <c r="I945" s="1095">
        <v>602.39</v>
      </c>
      <c r="J945" s="1142" t="s">
        <v>361</v>
      </c>
      <c r="K945" s="1168"/>
      <c r="L945" s="1170"/>
      <c r="M945" s="1170"/>
      <c r="N945" s="965"/>
      <c r="O945" s="961"/>
      <c r="P945" s="961"/>
      <c r="Q945" s="802"/>
    </row>
    <row r="946" spans="1:19" ht="13.5" thickBot="1">
      <c r="A946" s="1011"/>
      <c r="B946" s="1114"/>
      <c r="C946" s="1115"/>
      <c r="D946" s="1115"/>
      <c r="E946" s="1115"/>
      <c r="F946" s="1115"/>
      <c r="G946" s="1115"/>
      <c r="H946" s="1116"/>
      <c r="I946" s="1117">
        <v>602.4</v>
      </c>
      <c r="J946" s="1118" t="s">
        <v>362</v>
      </c>
      <c r="K946" s="1145">
        <f>SUM(K947+K948)</f>
        <v>0</v>
      </c>
      <c r="L946" s="1120">
        <f>SUM(L947+L948)</f>
        <v>0</v>
      </c>
      <c r="M946" s="1120">
        <f>SUM(M947:M948)</f>
        <v>2517770</v>
      </c>
      <c r="N946" s="958"/>
      <c r="O946" s="971"/>
      <c r="P946" s="961"/>
      <c r="Q946" s="802"/>
    </row>
    <row r="947" spans="1:19">
      <c r="A947" s="1011"/>
      <c r="B947" s="1128"/>
      <c r="C947" s="1129"/>
      <c r="D947" s="1129"/>
      <c r="E947" s="1129"/>
      <c r="F947" s="1129"/>
      <c r="G947" s="1129"/>
      <c r="H947" s="1130"/>
      <c r="I947" s="1131">
        <v>602.4</v>
      </c>
      <c r="J947" s="699" t="s">
        <v>363</v>
      </c>
      <c r="K947" s="1158"/>
      <c r="L947" s="1171"/>
      <c r="M947" s="1171">
        <v>2517770</v>
      </c>
      <c r="N947" s="958"/>
      <c r="O947" s="964"/>
      <c r="P947" s="961"/>
      <c r="Q947" s="799"/>
      <c r="S947" s="682"/>
    </row>
    <row r="948" spans="1:19" ht="13.5" thickBot="1">
      <c r="A948" s="1011"/>
      <c r="B948" s="1139"/>
      <c r="C948" s="1140"/>
      <c r="D948" s="1140"/>
      <c r="E948" s="1140"/>
      <c r="F948" s="1140"/>
      <c r="G948" s="1140"/>
      <c r="H948" s="1141"/>
      <c r="I948" s="1095">
        <v>602.41</v>
      </c>
      <c r="J948" s="1142" t="s">
        <v>364</v>
      </c>
      <c r="K948" s="1168"/>
      <c r="L948" s="1156"/>
      <c r="M948" s="1156"/>
      <c r="N948" s="972"/>
      <c r="O948" s="961"/>
      <c r="P948" s="961"/>
      <c r="Q948" s="805"/>
    </row>
    <row r="949" spans="1:19" ht="13.5" thickBot="1">
      <c r="A949" s="1011"/>
      <c r="B949" s="1114"/>
      <c r="C949" s="1115"/>
      <c r="D949" s="1115"/>
      <c r="E949" s="1115"/>
      <c r="F949" s="1115"/>
      <c r="G949" s="1115"/>
      <c r="H949" s="1116"/>
      <c r="I949" s="1117">
        <v>602.5</v>
      </c>
      <c r="J949" s="1118" t="s">
        <v>365</v>
      </c>
      <c r="K949" s="1145">
        <f>SUM(K950+K951+K952+K953+K954+K955+K956+K957)</f>
        <v>0</v>
      </c>
      <c r="L949" s="1146">
        <f>SUM(L950+L951+L952+L953+L954+L955+L956+L957)</f>
        <v>0</v>
      </c>
      <c r="M949" s="1146">
        <f>SUM(M950:M957)</f>
        <v>729040</v>
      </c>
      <c r="N949" s="973"/>
      <c r="O949" s="952"/>
      <c r="P949" s="974"/>
      <c r="Q949" s="802"/>
    </row>
    <row r="950" spans="1:19">
      <c r="A950" s="1011"/>
      <c r="B950" s="1128"/>
      <c r="C950" s="1129"/>
      <c r="D950" s="1129"/>
      <c r="E950" s="1129"/>
      <c r="F950" s="1129"/>
      <c r="G950" s="1129"/>
      <c r="H950" s="1130"/>
      <c r="I950" s="1131">
        <v>602.5</v>
      </c>
      <c r="J950" s="699" t="s">
        <v>366</v>
      </c>
      <c r="K950" s="1172"/>
      <c r="L950" s="1173"/>
      <c r="M950" s="1173"/>
      <c r="N950" s="963"/>
      <c r="O950" s="961"/>
      <c r="P950" s="961"/>
      <c r="Q950" s="801"/>
    </row>
    <row r="951" spans="1:19">
      <c r="A951" s="1011"/>
      <c r="B951" s="1134"/>
      <c r="C951" s="1135"/>
      <c r="D951" s="1135"/>
      <c r="E951" s="1135"/>
      <c r="F951" s="1135"/>
      <c r="G951" s="1135"/>
      <c r="H951" s="1136"/>
      <c r="I951" s="1081">
        <v>602.51</v>
      </c>
      <c r="J951" s="700" t="s">
        <v>367</v>
      </c>
      <c r="K951" s="1174"/>
      <c r="L951" s="1175"/>
      <c r="M951" s="1175"/>
      <c r="N951" s="963"/>
      <c r="O951" s="961"/>
      <c r="P951" s="961"/>
      <c r="Q951" s="801"/>
    </row>
    <row r="952" spans="1:19">
      <c r="A952" s="1011"/>
      <c r="B952" s="1134"/>
      <c r="C952" s="1135"/>
      <c r="D952" s="1135"/>
      <c r="E952" s="1135"/>
      <c r="F952" s="1135"/>
      <c r="G952" s="1135"/>
      <c r="H952" s="1136"/>
      <c r="I952" s="1081">
        <v>602.52</v>
      </c>
      <c r="J952" s="700" t="s">
        <v>532</v>
      </c>
      <c r="K952" s="1174"/>
      <c r="L952" s="1175"/>
      <c r="M952" s="1175">
        <f>466888+105100-175668</f>
        <v>396320</v>
      </c>
      <c r="N952" s="963"/>
      <c r="O952" s="961"/>
      <c r="P952" s="961"/>
      <c r="Q952" s="801"/>
    </row>
    <row r="953" spans="1:19" ht="13.5" thickBot="1">
      <c r="A953" s="1011"/>
      <c r="B953" s="1151"/>
      <c r="C953" s="1152"/>
      <c r="D953" s="1152"/>
      <c r="E953" s="1152"/>
      <c r="F953" s="1152"/>
      <c r="G953" s="1152"/>
      <c r="H953" s="1153"/>
      <c r="I953" s="1154">
        <v>602.53</v>
      </c>
      <c r="J953" s="701" t="s">
        <v>369</v>
      </c>
      <c r="K953" s="1176"/>
      <c r="L953" s="1177"/>
      <c r="M953" s="1177"/>
      <c r="N953" s="963"/>
      <c r="O953" s="961"/>
      <c r="P953" s="961"/>
      <c r="Q953" s="801"/>
    </row>
    <row r="954" spans="1:19">
      <c r="A954" s="1011"/>
      <c r="B954" s="1121"/>
      <c r="C954" s="1122"/>
      <c r="D954" s="1122"/>
      <c r="E954" s="1122"/>
      <c r="F954" s="1122"/>
      <c r="G954" s="1122"/>
      <c r="H954" s="1123"/>
      <c r="I954" s="1124">
        <v>602.54</v>
      </c>
      <c r="J954" s="1125" t="s">
        <v>405</v>
      </c>
      <c r="K954" s="1178"/>
      <c r="L954" s="1127"/>
      <c r="M954" s="1127"/>
      <c r="N954" s="963"/>
      <c r="O954" s="961"/>
      <c r="P954" s="961"/>
      <c r="Q954" s="801"/>
    </row>
    <row r="955" spans="1:19">
      <c r="A955" s="1011"/>
      <c r="B955" s="1134"/>
      <c r="C955" s="1135"/>
      <c r="D955" s="1135"/>
      <c r="E955" s="1135"/>
      <c r="F955" s="1135"/>
      <c r="G955" s="1135"/>
      <c r="H955" s="1136"/>
      <c r="I955" s="1081">
        <v>602.54999999999995</v>
      </c>
      <c r="J955" s="700" t="s">
        <v>370</v>
      </c>
      <c r="K955" s="1174"/>
      <c r="L955" s="1179"/>
      <c r="M955" s="1179"/>
      <c r="N955" s="963"/>
      <c r="O955" s="961"/>
      <c r="P955" s="961"/>
      <c r="Q955" s="800"/>
    </row>
    <row r="956" spans="1:19">
      <c r="A956" s="1011"/>
      <c r="B956" s="1134"/>
      <c r="C956" s="1135"/>
      <c r="D956" s="1135"/>
      <c r="E956" s="1135"/>
      <c r="F956" s="1135"/>
      <c r="G956" s="1135"/>
      <c r="H956" s="1136"/>
      <c r="I956" s="1081">
        <v>602.55999999999995</v>
      </c>
      <c r="J956" s="700" t="s">
        <v>371</v>
      </c>
      <c r="K956" s="1174"/>
      <c r="L956" s="1175"/>
      <c r="M956" s="1175"/>
      <c r="N956" s="972"/>
      <c r="O956" s="961"/>
      <c r="P956" s="961"/>
      <c r="Q956" s="805"/>
    </row>
    <row r="957" spans="1:19" ht="13.5" thickBot="1">
      <c r="A957" s="1011"/>
      <c r="B957" s="1139"/>
      <c r="C957" s="1140"/>
      <c r="D957" s="1140"/>
      <c r="E957" s="1140"/>
      <c r="F957" s="1140"/>
      <c r="G957" s="1140"/>
      <c r="H957" s="1141"/>
      <c r="I957" s="1095">
        <v>602.58000000000004</v>
      </c>
      <c r="J957" s="1142" t="s">
        <v>533</v>
      </c>
      <c r="K957" s="1180"/>
      <c r="L957" s="1181"/>
      <c r="M957" s="1181">
        <f>194950+137770</f>
        <v>332720</v>
      </c>
      <c r="N957" s="963"/>
      <c r="O957" s="961"/>
      <c r="P957" s="961"/>
      <c r="Q957" s="801"/>
    </row>
    <row r="958" spans="1:19" ht="13.5" thickBot="1">
      <c r="A958" s="1011"/>
      <c r="B958" s="1114"/>
      <c r="C958" s="1115"/>
      <c r="D958" s="1115"/>
      <c r="E958" s="1115"/>
      <c r="F958" s="1115"/>
      <c r="G958" s="1115"/>
      <c r="H958" s="1116"/>
      <c r="I958" s="1117">
        <v>602.6</v>
      </c>
      <c r="J958" s="1118" t="s">
        <v>373</v>
      </c>
      <c r="K958" s="1182">
        <f>SUM(K959+K960+K961+K962+K963)</f>
        <v>0</v>
      </c>
      <c r="L958" s="1183">
        <f>SUM(L959+L960+L961+L962+L963)</f>
        <v>0</v>
      </c>
      <c r="M958" s="1183">
        <f>SUM(M959+M960+M961+M962+M963)</f>
        <v>30000</v>
      </c>
      <c r="N958" s="967"/>
      <c r="O958" s="961"/>
      <c r="P958" s="961"/>
      <c r="Q958" s="805"/>
    </row>
    <row r="959" spans="1:19">
      <c r="A959" s="1011"/>
      <c r="B959" s="1128"/>
      <c r="C959" s="1129"/>
      <c r="D959" s="1129"/>
      <c r="E959" s="1129"/>
      <c r="F959" s="1129"/>
      <c r="G959" s="1129"/>
      <c r="H959" s="1130"/>
      <c r="I959" s="1131">
        <v>602.61</v>
      </c>
      <c r="J959" s="699" t="s">
        <v>374</v>
      </c>
      <c r="K959" s="1172"/>
      <c r="L959" s="1173"/>
      <c r="M959" s="1173">
        <v>30000</v>
      </c>
      <c r="N959" s="967"/>
      <c r="O959" s="961"/>
      <c r="P959" s="961"/>
      <c r="Q959" s="804"/>
    </row>
    <row r="960" spans="1:19">
      <c r="A960" s="1011"/>
      <c r="B960" s="1134"/>
      <c r="C960" s="1135"/>
      <c r="D960" s="1135"/>
      <c r="E960" s="1135"/>
      <c r="F960" s="1135"/>
      <c r="G960" s="1135"/>
      <c r="H960" s="1136"/>
      <c r="I960" s="1081">
        <v>602.62</v>
      </c>
      <c r="J960" s="700" t="s">
        <v>375</v>
      </c>
      <c r="K960" s="1174"/>
      <c r="L960" s="1175"/>
      <c r="M960" s="1175"/>
      <c r="N960" s="963"/>
      <c r="O960" s="961"/>
      <c r="P960" s="961"/>
      <c r="Q960" s="801"/>
    </row>
    <row r="961" spans="1:17">
      <c r="A961" s="1011"/>
      <c r="B961" s="1134"/>
      <c r="C961" s="1135"/>
      <c r="D961" s="1135"/>
      <c r="E961" s="1135"/>
      <c r="F961" s="1135"/>
      <c r="G961" s="1135"/>
      <c r="H961" s="1136"/>
      <c r="I961" s="1081">
        <v>602.63</v>
      </c>
      <c r="J961" s="700" t="s">
        <v>376</v>
      </c>
      <c r="K961" s="1174"/>
      <c r="L961" s="1175"/>
      <c r="M961" s="1175"/>
      <c r="N961" s="963"/>
      <c r="O961" s="961"/>
      <c r="P961" s="961"/>
      <c r="Q961" s="801"/>
    </row>
    <row r="962" spans="1:17">
      <c r="A962" s="1011"/>
      <c r="B962" s="1134"/>
      <c r="C962" s="1135"/>
      <c r="D962" s="1135"/>
      <c r="E962" s="1135"/>
      <c r="F962" s="1135"/>
      <c r="G962" s="1135"/>
      <c r="H962" s="1136"/>
      <c r="I962" s="1081">
        <v>602.64</v>
      </c>
      <c r="J962" s="700" t="s">
        <v>377</v>
      </c>
      <c r="K962" s="1174"/>
      <c r="L962" s="1175"/>
      <c r="M962" s="1175"/>
      <c r="N962" s="963"/>
      <c r="O962" s="961"/>
      <c r="P962" s="961"/>
      <c r="Q962" s="801"/>
    </row>
    <row r="963" spans="1:17" ht="13.5" thickBot="1">
      <c r="A963" s="1011"/>
      <c r="B963" s="1139"/>
      <c r="C963" s="1140"/>
      <c r="D963" s="1140"/>
      <c r="E963" s="1140"/>
      <c r="F963" s="1140"/>
      <c r="G963" s="1140"/>
      <c r="H963" s="1141"/>
      <c r="I963" s="1095">
        <v>602.69000000000005</v>
      </c>
      <c r="J963" s="1142" t="s">
        <v>378</v>
      </c>
      <c r="K963" s="1180"/>
      <c r="L963" s="1184"/>
      <c r="M963" s="1184"/>
      <c r="N963" s="963"/>
      <c r="O963" s="961"/>
      <c r="P963" s="961"/>
      <c r="Q963" s="801"/>
    </row>
    <row r="964" spans="1:17" ht="13.5" thickBot="1">
      <c r="A964" s="1011"/>
      <c r="B964" s="1114"/>
      <c r="C964" s="1115"/>
      <c r="D964" s="1115"/>
      <c r="E964" s="1115"/>
      <c r="F964" s="1115"/>
      <c r="G964" s="1115"/>
      <c r="H964" s="1116"/>
      <c r="I964" s="1185">
        <v>602.70000000000005</v>
      </c>
      <c r="J964" s="1118" t="s">
        <v>379</v>
      </c>
      <c r="K964" s="1182">
        <f>SUM(K965+K966+K967+K968+K969+K970)</f>
        <v>0</v>
      </c>
      <c r="L964" s="1183">
        <f>SUM(L965+L966+L967+L968+L969+L970)</f>
        <v>0</v>
      </c>
      <c r="M964" s="1183">
        <f>SUM(M965:M970)</f>
        <v>8329416</v>
      </c>
      <c r="N964" s="967"/>
      <c r="O964" s="961"/>
      <c r="P964" s="961"/>
      <c r="Q964" s="801"/>
    </row>
    <row r="965" spans="1:17">
      <c r="A965" s="1011"/>
      <c r="B965" s="1128"/>
      <c r="C965" s="1129"/>
      <c r="D965" s="1129"/>
      <c r="E965" s="1129"/>
      <c r="F965" s="1129"/>
      <c r="G965" s="1129"/>
      <c r="H965" s="1130"/>
      <c r="I965" s="1131">
        <v>602.71</v>
      </c>
      <c r="J965" s="699" t="s">
        <v>380</v>
      </c>
      <c r="K965" s="1172"/>
      <c r="L965" s="1173"/>
      <c r="M965" s="1173"/>
      <c r="N965" s="967"/>
      <c r="O965" s="961"/>
      <c r="P965" s="961"/>
      <c r="Q965" s="804"/>
    </row>
    <row r="966" spans="1:17">
      <c r="A966" s="1011"/>
      <c r="B966" s="1134"/>
      <c r="C966" s="1135"/>
      <c r="D966" s="1135"/>
      <c r="E966" s="1135"/>
      <c r="F966" s="1135"/>
      <c r="G966" s="1135"/>
      <c r="H966" s="1136"/>
      <c r="I966" s="1081">
        <v>602.72</v>
      </c>
      <c r="J966" s="700" t="s">
        <v>381</v>
      </c>
      <c r="K966" s="1174"/>
      <c r="L966" s="1175"/>
      <c r="M966" s="1175"/>
      <c r="N966" s="963"/>
      <c r="O966" s="961"/>
      <c r="P966" s="961"/>
      <c r="Q966" s="801"/>
    </row>
    <row r="967" spans="1:17">
      <c r="A967" s="1011"/>
      <c r="B967" s="1134"/>
      <c r="C967" s="1135"/>
      <c r="D967" s="1135"/>
      <c r="E967" s="1135"/>
      <c r="F967" s="1135"/>
      <c r="G967" s="1135"/>
      <c r="H967" s="1136"/>
      <c r="I967" s="1081">
        <v>602.73</v>
      </c>
      <c r="J967" s="700" t="s">
        <v>382</v>
      </c>
      <c r="K967" s="1174"/>
      <c r="L967" s="1175"/>
      <c r="M967" s="1175"/>
      <c r="N967" s="963"/>
      <c r="O967" s="961"/>
      <c r="P967" s="961"/>
      <c r="Q967" s="801"/>
    </row>
    <row r="968" spans="1:17">
      <c r="A968" s="1011"/>
      <c r="B968" s="1134"/>
      <c r="C968" s="1135"/>
      <c r="D968" s="1135"/>
      <c r="E968" s="1135"/>
      <c r="F968" s="1135"/>
      <c r="G968" s="1135"/>
      <c r="H968" s="1136"/>
      <c r="I968" s="1081">
        <v>602.74</v>
      </c>
      <c r="J968" s="700" t="s">
        <v>383</v>
      </c>
      <c r="K968" s="1174"/>
      <c r="L968" s="1138"/>
      <c r="M968" s="1138">
        <v>2810000</v>
      </c>
      <c r="N968" s="963"/>
      <c r="O968" s="964"/>
      <c r="P968" s="961"/>
      <c r="Q968" s="801"/>
    </row>
    <row r="969" spans="1:17">
      <c r="A969" s="1011"/>
      <c r="B969" s="1134"/>
      <c r="C969" s="1135"/>
      <c r="D969" s="1135"/>
      <c r="E969" s="1135"/>
      <c r="F969" s="1135"/>
      <c r="G969" s="1135"/>
      <c r="H969" s="1136"/>
      <c r="I969" s="1081">
        <v>602.75</v>
      </c>
      <c r="J969" s="700" t="s">
        <v>509</v>
      </c>
      <c r="K969" s="1174"/>
      <c r="L969" s="1175"/>
      <c r="M969" s="1175">
        <v>5519416</v>
      </c>
      <c r="N969" s="963"/>
      <c r="O969" s="964"/>
      <c r="P969" s="961"/>
      <c r="Q969" s="801"/>
    </row>
    <row r="970" spans="1:17" ht="13.5" thickBot="1">
      <c r="A970" s="1011"/>
      <c r="B970" s="1139"/>
      <c r="C970" s="1140"/>
      <c r="D970" s="1140"/>
      <c r="E970" s="1140"/>
      <c r="F970" s="1140"/>
      <c r="G970" s="1140"/>
      <c r="H970" s="1141"/>
      <c r="I970" s="1095">
        <v>602.79</v>
      </c>
      <c r="J970" s="1142" t="s">
        <v>385</v>
      </c>
      <c r="K970" s="1180"/>
      <c r="L970" s="1184"/>
      <c r="M970" s="1184"/>
      <c r="N970" s="963"/>
      <c r="O970" s="961"/>
      <c r="P970" s="961"/>
      <c r="Q970" s="801"/>
    </row>
    <row r="971" spans="1:17" ht="13.5" thickBot="1">
      <c r="A971" s="1011"/>
      <c r="B971" s="1114"/>
      <c r="C971" s="1115"/>
      <c r="D971" s="1115"/>
      <c r="E971" s="1115"/>
      <c r="F971" s="1115"/>
      <c r="G971" s="1115"/>
      <c r="H971" s="1116"/>
      <c r="I971" s="1185">
        <v>602.79999999999995</v>
      </c>
      <c r="J971" s="1118" t="s">
        <v>386</v>
      </c>
      <c r="K971" s="1182">
        <f>SUM(K972+K973)</f>
        <v>0</v>
      </c>
      <c r="L971" s="1183">
        <f>SUM(L972+L973)</f>
        <v>0</v>
      </c>
      <c r="M971" s="1183">
        <f>SUM(M972+M973)</f>
        <v>0</v>
      </c>
      <c r="N971" s="963"/>
      <c r="O971" s="961"/>
      <c r="P971" s="961"/>
      <c r="Q971" s="801"/>
    </row>
    <row r="972" spans="1:17">
      <c r="A972" s="1011"/>
      <c r="B972" s="1128"/>
      <c r="C972" s="1129"/>
      <c r="D972" s="1129"/>
      <c r="E972" s="1129"/>
      <c r="F972" s="1129"/>
      <c r="G972" s="1129"/>
      <c r="H972" s="1130"/>
      <c r="I972" s="1131">
        <v>602.80999999999995</v>
      </c>
      <c r="J972" s="699" t="s">
        <v>387</v>
      </c>
      <c r="K972" s="1132"/>
      <c r="L972" s="1133"/>
      <c r="M972" s="1133"/>
      <c r="N972" s="967"/>
      <c r="O972" s="961"/>
      <c r="P972" s="961"/>
      <c r="Q972" s="804"/>
    </row>
    <row r="973" spans="1:17" ht="13.5" thickBot="1">
      <c r="A973" s="1011"/>
      <c r="B973" s="1139"/>
      <c r="C973" s="1140"/>
      <c r="D973" s="1140"/>
      <c r="E973" s="1140"/>
      <c r="F973" s="1140"/>
      <c r="G973" s="1140"/>
      <c r="H973" s="1141"/>
      <c r="I973" s="1095">
        <v>602.82000000000005</v>
      </c>
      <c r="J973" s="1142" t="s">
        <v>388</v>
      </c>
      <c r="K973" s="1143"/>
      <c r="L973" s="1144"/>
      <c r="M973" s="1144"/>
      <c r="N973" s="962"/>
      <c r="O973" s="961"/>
      <c r="P973" s="961"/>
      <c r="Q973" s="800"/>
    </row>
    <row r="974" spans="1:17" ht="13.5" thickBot="1">
      <c r="A974" s="1011"/>
      <c r="B974" s="1114"/>
      <c r="C974" s="1115"/>
      <c r="D974" s="1115"/>
      <c r="E974" s="1115"/>
      <c r="F974" s="1115"/>
      <c r="G974" s="1115"/>
      <c r="H974" s="1116"/>
      <c r="I974" s="1117">
        <v>602.9</v>
      </c>
      <c r="J974" s="1118" t="s">
        <v>389</v>
      </c>
      <c r="K974" s="1182">
        <f>SUM(K975+K976+K977+K978+K979+K980+K981+K982+K983)</f>
        <v>0</v>
      </c>
      <c r="L974" s="1183">
        <f>SUM(L975+L976+L977+L978+L979+L980+L981+L982+L983)</f>
        <v>0</v>
      </c>
      <c r="M974" s="1183">
        <f>SUM(M975+M976+M977+M978+M979+M980+M981+M982+M983)</f>
        <v>356500</v>
      </c>
      <c r="N974" s="967"/>
      <c r="O974" s="961"/>
      <c r="P974" s="961"/>
      <c r="Q974" s="800"/>
    </row>
    <row r="975" spans="1:17">
      <c r="A975" s="1011"/>
      <c r="B975" s="1121"/>
      <c r="C975" s="1122"/>
      <c r="D975" s="1122"/>
      <c r="E975" s="1122"/>
      <c r="F975" s="1122"/>
      <c r="G975" s="1122"/>
      <c r="H975" s="1123"/>
      <c r="I975" s="1124">
        <v>602.90009999999995</v>
      </c>
      <c r="J975" s="1125" t="s">
        <v>390</v>
      </c>
      <c r="K975" s="1186"/>
      <c r="L975" s="1187"/>
      <c r="M975" s="1187"/>
      <c r="N975" s="967"/>
      <c r="O975" s="961"/>
      <c r="P975" s="961"/>
      <c r="Q975" s="804"/>
    </row>
    <row r="976" spans="1:17">
      <c r="A976" s="1011"/>
      <c r="B976" s="1134"/>
      <c r="C976" s="1135"/>
      <c r="D976" s="1135"/>
      <c r="E976" s="1135"/>
      <c r="F976" s="1135"/>
      <c r="G976" s="1135"/>
      <c r="H976" s="1136"/>
      <c r="I976" s="1081">
        <v>602.90020000000004</v>
      </c>
      <c r="J976" s="700" t="s">
        <v>392</v>
      </c>
      <c r="K976" s="1149"/>
      <c r="L976" s="1150"/>
      <c r="M976" s="1150"/>
      <c r="N976" s="965"/>
      <c r="O976" s="961"/>
      <c r="P976" s="961"/>
      <c r="Q976" s="802"/>
    </row>
    <row r="977" spans="1:18">
      <c r="A977" s="1011"/>
      <c r="B977" s="1134"/>
      <c r="C977" s="1135"/>
      <c r="D977" s="1135"/>
      <c r="E977" s="1135"/>
      <c r="F977" s="1135"/>
      <c r="G977" s="1135"/>
      <c r="H977" s="1136"/>
      <c r="I977" s="1081">
        <v>602.90030000000002</v>
      </c>
      <c r="J977" s="700" t="s">
        <v>391</v>
      </c>
      <c r="K977" s="1149"/>
      <c r="L977" s="1150"/>
      <c r="M977" s="1150">
        <v>12000</v>
      </c>
      <c r="N977" s="965"/>
      <c r="O977" s="961"/>
      <c r="P977" s="961"/>
      <c r="Q977" s="802"/>
    </row>
    <row r="978" spans="1:18">
      <c r="A978" s="1011"/>
      <c r="B978" s="1134"/>
      <c r="C978" s="1135"/>
      <c r="D978" s="1135"/>
      <c r="E978" s="1135"/>
      <c r="F978" s="1135"/>
      <c r="G978" s="1135"/>
      <c r="H978" s="1136"/>
      <c r="I978" s="1081">
        <v>602.90039999999999</v>
      </c>
      <c r="J978" s="700" t="s">
        <v>393</v>
      </c>
      <c r="K978" s="1149"/>
      <c r="L978" s="1150"/>
      <c r="M978" s="1150"/>
      <c r="N978" s="965"/>
      <c r="O978" s="961"/>
      <c r="P978" s="961"/>
      <c r="Q978" s="802"/>
    </row>
    <row r="979" spans="1:18">
      <c r="A979" s="1011"/>
      <c r="B979" s="1134"/>
      <c r="C979" s="1135"/>
      <c r="D979" s="1135"/>
      <c r="E979" s="1135"/>
      <c r="F979" s="1135"/>
      <c r="G979" s="1135"/>
      <c r="H979" s="1136"/>
      <c r="I979" s="1081">
        <v>602.90049999999997</v>
      </c>
      <c r="J979" s="700" t="s">
        <v>394</v>
      </c>
      <c r="K979" s="1149"/>
      <c r="L979" s="1150"/>
      <c r="M979" s="1150">
        <v>344500</v>
      </c>
      <c r="N979" s="965"/>
      <c r="O979" s="964"/>
      <c r="P979" s="961"/>
      <c r="Q979" s="802"/>
    </row>
    <row r="980" spans="1:18">
      <c r="A980" s="1011"/>
      <c r="B980" s="1134"/>
      <c r="C980" s="1135"/>
      <c r="D980" s="1135"/>
      <c r="E980" s="1135"/>
      <c r="F980" s="1135"/>
      <c r="G980" s="1135"/>
      <c r="H980" s="1136"/>
      <c r="I980" s="1081">
        <v>602.90060000000005</v>
      </c>
      <c r="J980" s="700" t="s">
        <v>395</v>
      </c>
      <c r="K980" s="1149"/>
      <c r="L980" s="1150"/>
      <c r="M980" s="1150"/>
      <c r="N980" s="965"/>
      <c r="O980" s="961"/>
      <c r="P980" s="961"/>
      <c r="Q980" s="802"/>
    </row>
    <row r="981" spans="1:18">
      <c r="A981" s="1011"/>
      <c r="B981" s="1134"/>
      <c r="C981" s="1135"/>
      <c r="D981" s="1135"/>
      <c r="E981" s="1135"/>
      <c r="F981" s="1135"/>
      <c r="G981" s="1135"/>
      <c r="H981" s="1136"/>
      <c r="I981" s="1081">
        <v>602.90070000000003</v>
      </c>
      <c r="J981" s="700" t="s">
        <v>396</v>
      </c>
      <c r="K981" s="1137"/>
      <c r="L981" s="1138"/>
      <c r="M981" s="1138"/>
      <c r="N981" s="965"/>
      <c r="O981" s="961"/>
      <c r="P981" s="961"/>
      <c r="Q981" s="802"/>
    </row>
    <row r="982" spans="1:18">
      <c r="A982" s="1011"/>
      <c r="B982" s="1134"/>
      <c r="C982" s="1135"/>
      <c r="D982" s="1135"/>
      <c r="E982" s="1135"/>
      <c r="F982" s="1135"/>
      <c r="G982" s="1135"/>
      <c r="H982" s="1136"/>
      <c r="I982" s="1081">
        <v>602.90080000000103</v>
      </c>
      <c r="J982" s="700" t="s">
        <v>397</v>
      </c>
      <c r="K982" s="1149"/>
      <c r="L982" s="1150"/>
      <c r="M982" s="1150"/>
      <c r="N982" s="962"/>
      <c r="O982" s="961"/>
      <c r="P982" s="961"/>
      <c r="Q982" s="800"/>
    </row>
    <row r="983" spans="1:18" ht="13.5" thickBot="1">
      <c r="A983" s="1011"/>
      <c r="B983" s="1139"/>
      <c r="C983" s="1140"/>
      <c r="D983" s="1140"/>
      <c r="E983" s="1140"/>
      <c r="F983" s="1140"/>
      <c r="G983" s="1140"/>
      <c r="H983" s="1141"/>
      <c r="I983" s="1095">
        <v>602.900900000001</v>
      </c>
      <c r="J983" s="1142" t="s">
        <v>398</v>
      </c>
      <c r="K983" s="1168"/>
      <c r="L983" s="1188"/>
      <c r="M983" s="1188"/>
      <c r="N983" s="965"/>
      <c r="O983" s="961"/>
      <c r="P983" s="961"/>
      <c r="Q983" s="802"/>
    </row>
    <row r="984" spans="1:18" ht="13.5" thickBot="1">
      <c r="A984" s="1011"/>
      <c r="B984" s="1189"/>
      <c r="C984" s="1190"/>
      <c r="D984" s="1190"/>
      <c r="E984" s="1190"/>
      <c r="F984" s="1190"/>
      <c r="G984" s="1191"/>
      <c r="H984" s="1192">
        <v>606</v>
      </c>
      <c r="I984" s="1193">
        <v>606.91</v>
      </c>
      <c r="J984" s="1194" t="s">
        <v>406</v>
      </c>
      <c r="K984" s="1195"/>
      <c r="L984" s="1196"/>
      <c r="M984" s="1196"/>
      <c r="N984" s="973"/>
      <c r="O984" s="961"/>
      <c r="P984" s="974"/>
      <c r="Q984" s="802"/>
    </row>
    <row r="985" spans="1:18" ht="15.75" thickBot="1">
      <c r="A985" s="1011"/>
      <c r="B985" s="1197"/>
      <c r="C985" s="1198"/>
      <c r="D985" s="1198"/>
      <c r="E985" s="1199">
        <v>6</v>
      </c>
      <c r="F985" s="1198"/>
      <c r="G985" s="1200">
        <v>10430</v>
      </c>
      <c r="H985" s="1201">
        <v>231</v>
      </c>
      <c r="I985" s="1202"/>
      <c r="J985" s="1203" t="s">
        <v>435</v>
      </c>
      <c r="K985" s="1204"/>
      <c r="L985" s="1204"/>
      <c r="M985" s="1204"/>
      <c r="N985" s="965"/>
      <c r="O985" s="961"/>
      <c r="P985" s="961"/>
      <c r="Q985" s="802"/>
    </row>
    <row r="986" spans="1:18" ht="15">
      <c r="A986" s="1011"/>
      <c r="B986" s="10"/>
      <c r="C986" s="1011" t="s">
        <v>534</v>
      </c>
      <c r="D986" s="1011"/>
      <c r="E986" s="1011"/>
      <c r="F986" s="1011"/>
      <c r="G986" s="1011"/>
      <c r="H986" s="1011"/>
      <c r="I986" s="1011"/>
      <c r="J986" s="1205"/>
      <c r="K986" s="1206"/>
      <c r="L986" s="1207"/>
      <c r="M986" s="1207"/>
      <c r="N986" s="975"/>
      <c r="O986" s="961"/>
      <c r="P986" s="961"/>
      <c r="R986" s="380"/>
    </row>
    <row r="987" spans="1:18" ht="15">
      <c r="A987" s="1011"/>
      <c r="B987" s="10"/>
      <c r="C987" s="1011" t="s">
        <v>433</v>
      </c>
      <c r="D987" s="1011"/>
      <c r="E987" s="1011"/>
      <c r="F987" s="1011"/>
      <c r="G987" s="1011"/>
      <c r="H987" s="1011"/>
      <c r="I987" s="1011"/>
      <c r="J987" s="1205"/>
      <c r="K987" s="1216" t="s">
        <v>536</v>
      </c>
      <c r="L987" s="1217"/>
      <c r="M987" s="1208"/>
      <c r="N987" s="488"/>
    </row>
    <row r="988" spans="1:18" ht="15">
      <c r="A988" s="1011"/>
      <c r="B988" s="10"/>
      <c r="C988" s="1011"/>
      <c r="D988" s="1010" t="s">
        <v>402</v>
      </c>
      <c r="E988" s="1010"/>
      <c r="F988" s="1010"/>
      <c r="G988" s="1010"/>
      <c r="H988" s="1011"/>
      <c r="I988" s="12"/>
      <c r="J988" s="1209"/>
      <c r="M988" s="1207"/>
      <c r="N988" s="490"/>
    </row>
    <row r="989" spans="1:18">
      <c r="A989" s="1011"/>
      <c r="B989" s="10"/>
      <c r="C989" s="1011"/>
      <c r="D989" s="1210" t="s">
        <v>439</v>
      </c>
      <c r="E989" s="1010"/>
      <c r="F989" s="1010"/>
      <c r="G989" s="1010"/>
      <c r="H989" s="1010"/>
      <c r="I989" s="1010"/>
      <c r="J989" s="1211"/>
      <c r="K989" s="1214" t="s">
        <v>535</v>
      </c>
      <c r="L989" s="1215"/>
      <c r="M989" s="1212"/>
      <c r="N989" s="149"/>
    </row>
    <row r="990" spans="1:18">
      <c r="A990" s="1211"/>
      <c r="B990" s="12"/>
      <c r="C990" s="12"/>
      <c r="D990" s="12"/>
      <c r="E990" s="12"/>
      <c r="F990" s="12"/>
      <c r="G990" s="12"/>
      <c r="H990" s="12"/>
      <c r="I990" s="12"/>
      <c r="J990" s="12"/>
      <c r="K990" s="12"/>
      <c r="L990" s="1213"/>
      <c r="M990" s="1213"/>
    </row>
    <row r="994" spans="1:27">
      <c r="B994" s="5"/>
      <c r="C994" s="5"/>
      <c r="D994" s="5"/>
      <c r="E994" s="5"/>
      <c r="F994" s="5"/>
      <c r="G994" s="5"/>
      <c r="H994" s="5"/>
      <c r="I994" s="5"/>
      <c r="J994" s="5"/>
      <c r="K994" s="5"/>
      <c r="L994" s="683"/>
      <c r="M994" s="683"/>
      <c r="N994" s="149"/>
      <c r="O994" s="220"/>
      <c r="P994" s="220"/>
      <c r="Q994" s="220"/>
      <c r="R994" s="220"/>
      <c r="S994" s="220"/>
      <c r="T994" s="220"/>
      <c r="U994" s="220"/>
    </row>
    <row r="995" spans="1:27">
      <c r="B995" s="163"/>
      <c r="C995" s="163"/>
      <c r="D995" s="163"/>
      <c r="E995" s="71"/>
      <c r="F995" s="383"/>
      <c r="G995" s="383"/>
      <c r="H995" s="383"/>
      <c r="I995" s="383"/>
      <c r="J995" s="383"/>
      <c r="K995" s="383"/>
      <c r="L995" s="489"/>
      <c r="M995" s="489"/>
      <c r="N995" s="489"/>
      <c r="O995" s="223"/>
      <c r="P995" s="223"/>
      <c r="Q995" s="223"/>
      <c r="R995" s="223"/>
      <c r="S995" s="223"/>
      <c r="T995" s="223"/>
      <c r="U995" s="223"/>
    </row>
    <row r="996" spans="1:27">
      <c r="B996" s="163"/>
      <c r="C996" s="163"/>
      <c r="D996" s="210"/>
      <c r="E996" s="210"/>
      <c r="F996" s="210"/>
      <c r="G996" s="210"/>
      <c r="H996" s="210"/>
      <c r="I996" s="210"/>
      <c r="J996" s="213"/>
      <c r="K996" s="681"/>
      <c r="L996" s="210"/>
      <c r="M996" s="210"/>
      <c r="N996" s="210"/>
    </row>
    <row r="997" spans="1:27">
      <c r="B997" s="163"/>
      <c r="C997" s="163"/>
      <c r="D997" s="210"/>
      <c r="E997" s="210"/>
      <c r="F997" s="210"/>
      <c r="G997" s="210"/>
      <c r="H997" s="210"/>
      <c r="I997" s="211"/>
      <c r="J997" s="211"/>
      <c r="K997" s="211"/>
      <c r="L997" s="212"/>
      <c r="M997" s="212"/>
      <c r="N997" s="452"/>
      <c r="O997" s="220"/>
      <c r="P997" s="220"/>
      <c r="Q997" s="220"/>
      <c r="R997" s="220"/>
      <c r="S997" s="220"/>
      <c r="U997" s="220"/>
      <c r="V997" s="220"/>
      <c r="X997" s="220"/>
      <c r="Y997" s="220"/>
      <c r="Z997" s="220"/>
      <c r="AA997" s="220"/>
    </row>
    <row r="998" spans="1:27">
      <c r="B998" s="163"/>
      <c r="C998" s="210"/>
      <c r="D998" s="210"/>
      <c r="E998" s="210"/>
      <c r="F998" s="210"/>
      <c r="G998" s="210"/>
      <c r="H998" s="210"/>
      <c r="I998" s="830"/>
      <c r="J998" s="845"/>
      <c r="K998" s="830"/>
      <c r="L998" s="835"/>
      <c r="M998" s="835"/>
      <c r="N998" s="453"/>
      <c r="O998" s="223"/>
      <c r="P998" s="223"/>
      <c r="Q998" s="223"/>
      <c r="R998" s="223"/>
      <c r="S998" s="223"/>
      <c r="T998" s="811"/>
      <c r="U998" s="223"/>
      <c r="V998" s="223"/>
      <c r="X998" s="223"/>
      <c r="Y998" s="223"/>
      <c r="Z998" s="223"/>
      <c r="AA998" s="223"/>
    </row>
    <row r="999" spans="1:27" ht="15">
      <c r="B999" s="216"/>
      <c r="C999" s="217"/>
      <c r="D999" s="217"/>
      <c r="E999" s="218"/>
      <c r="F999" s="218"/>
      <c r="G999" s="218"/>
      <c r="H999" s="218"/>
      <c r="I999" s="911"/>
      <c r="J999" s="911"/>
      <c r="K999" s="912"/>
      <c r="L999" s="913"/>
      <c r="M999" s="913"/>
      <c r="N999" s="453"/>
      <c r="O999" s="223"/>
      <c r="P999" s="223"/>
      <c r="Q999" s="223"/>
      <c r="R999" s="223"/>
      <c r="S999" s="223"/>
      <c r="T999" s="811"/>
      <c r="W999" s="811"/>
      <c r="X999" s="223"/>
      <c r="Y999" s="223"/>
      <c r="Z999" s="223"/>
      <c r="AA999" s="223"/>
    </row>
    <row r="1000" spans="1:27" ht="15">
      <c r="B1000" s="221"/>
      <c r="C1000" s="218" t="s">
        <v>301</v>
      </c>
      <c r="D1000" s="218"/>
      <c r="E1000" s="218"/>
      <c r="F1000" s="218"/>
      <c r="G1000" s="218"/>
      <c r="H1000" s="218"/>
      <c r="I1000" s="911"/>
      <c r="J1000" s="914"/>
      <c r="K1000" s="911"/>
      <c r="L1000" s="913"/>
      <c r="M1000" s="913"/>
      <c r="N1000" s="210"/>
      <c r="T1000" s="811"/>
    </row>
    <row r="1001" spans="1:27" ht="15">
      <c r="B1001" s="221"/>
      <c r="C1001" s="218"/>
      <c r="D1001" s="218"/>
      <c r="E1001" s="218"/>
      <c r="F1001" s="223"/>
      <c r="G1001" s="218"/>
      <c r="H1001" s="218"/>
      <c r="I1001" s="911"/>
      <c r="J1001" s="911"/>
      <c r="K1001" s="913"/>
      <c r="L1001" s="914"/>
      <c r="M1001" s="913"/>
      <c r="N1001" s="826"/>
      <c r="O1001" s="149">
        <v>33966</v>
      </c>
    </row>
    <row r="1002" spans="1:27" ht="15">
      <c r="A1002" s="163"/>
      <c r="B1002" s="224"/>
      <c r="C1002" s="224"/>
      <c r="E1002" s="224"/>
      <c r="F1002" s="224"/>
      <c r="G1002" s="392"/>
      <c r="H1002" s="224"/>
      <c r="I1002" s="915"/>
      <c r="J1002" s="65"/>
      <c r="K1002" s="916"/>
      <c r="L1002" s="917"/>
      <c r="M1002" s="917"/>
      <c r="N1002" s="826"/>
      <c r="O1002" s="149">
        <v>351152</v>
      </c>
      <c r="T1002" s="209"/>
      <c r="W1002" s="209"/>
    </row>
    <row r="1003" spans="1:27" ht="11.25" customHeight="1">
      <c r="A1003" s="1008"/>
      <c r="B1003" s="1009"/>
      <c r="C1003" s="1010" t="s">
        <v>300</v>
      </c>
      <c r="D1003" s="226"/>
      <c r="E1003" s="1009"/>
      <c r="F1003" s="1011"/>
      <c r="G1003" s="226"/>
      <c r="H1003" s="1012"/>
      <c r="I1003" s="1013"/>
      <c r="J1003" s="230" t="s">
        <v>526</v>
      </c>
      <c r="K1003" s="3046" t="s">
        <v>538</v>
      </c>
      <c r="L1003" s="3046"/>
      <c r="M1003" s="3046"/>
      <c r="N1003" s="826"/>
      <c r="O1003" s="149">
        <v>309228</v>
      </c>
      <c r="T1003" s="209"/>
      <c r="W1003" s="209"/>
    </row>
    <row r="1004" spans="1:27" ht="16.5" customHeight="1" thickBot="1">
      <c r="A1004" s="1008"/>
      <c r="B1004" s="1015"/>
      <c r="C1004" s="1015"/>
      <c r="D1004" s="237"/>
      <c r="E1004" s="1015"/>
      <c r="F1004" s="1015"/>
      <c r="G1004" s="234"/>
      <c r="H1004" s="1016"/>
      <c r="I1004" s="1017"/>
      <c r="J1004" s="1218" t="s">
        <v>537</v>
      </c>
      <c r="K1004" s="238"/>
      <c r="L1004" s="456"/>
      <c r="M1004" s="456"/>
      <c r="N1004" s="826"/>
      <c r="O1004" s="682">
        <f>O1006-M1011</f>
        <v>7680</v>
      </c>
      <c r="S1004" s="247"/>
      <c r="T1004" s="209"/>
      <c r="W1004" s="209"/>
    </row>
    <row r="1005" spans="1:27" ht="42" customHeight="1" thickBot="1">
      <c r="A1005" s="1011"/>
      <c r="B1005" s="1019" t="s">
        <v>137</v>
      </c>
      <c r="C1005" s="1020" t="s">
        <v>138</v>
      </c>
      <c r="D1005" s="1019" t="s">
        <v>139</v>
      </c>
      <c r="E1005" s="1019" t="s">
        <v>140</v>
      </c>
      <c r="F1005" s="1019" t="s">
        <v>141</v>
      </c>
      <c r="G1005" s="1019" t="s">
        <v>142</v>
      </c>
      <c r="H1005" s="1021" t="s">
        <v>126</v>
      </c>
      <c r="I1005" s="1019" t="s">
        <v>143</v>
      </c>
      <c r="J1005" s="1022" t="s">
        <v>304</v>
      </c>
      <c r="K1005" s="1023" t="s">
        <v>434</v>
      </c>
      <c r="L1005" s="1024" t="s">
        <v>502</v>
      </c>
      <c r="M1005" s="1025" t="s">
        <v>305</v>
      </c>
      <c r="N1005" s="149"/>
      <c r="O1005" s="149">
        <f>SUM(O1001:O1004)</f>
        <v>702026</v>
      </c>
    </row>
    <row r="1006" spans="1:27" ht="15.75" customHeight="1" thickBot="1">
      <c r="A1006" s="1011"/>
      <c r="B1006" s="1026" t="s">
        <v>148</v>
      </c>
      <c r="C1006" s="1027">
        <v>25</v>
      </c>
      <c r="D1006" s="1028" t="s">
        <v>267</v>
      </c>
      <c r="E1006" s="1029">
        <v>1</v>
      </c>
      <c r="F1006" s="1029">
        <v>1111</v>
      </c>
      <c r="G1006" s="1030">
        <v>10430</v>
      </c>
      <c r="H1006" s="1031"/>
      <c r="I1006" s="1032"/>
      <c r="J1006" s="1033" t="s">
        <v>308</v>
      </c>
      <c r="K1006" s="1034">
        <f>SUM(K1007+K1008+K1009+K1010)</f>
        <v>0</v>
      </c>
      <c r="L1006" s="1034">
        <f>SUM(L1007+L1008+L1009+L1010)</f>
        <v>0</v>
      </c>
      <c r="M1006" s="1034"/>
      <c r="N1006" s="829"/>
      <c r="O1006" s="247">
        <v>56278595</v>
      </c>
      <c r="P1006" s="247"/>
      <c r="Q1006" s="247"/>
      <c r="R1006" s="247"/>
      <c r="S1006" s="247"/>
      <c r="T1006" s="209"/>
      <c r="U1006" s="247"/>
      <c r="V1006" s="247"/>
      <c r="W1006" s="247"/>
      <c r="X1006" s="247"/>
      <c r="Y1006" s="247"/>
      <c r="Z1006" s="247"/>
      <c r="AA1006" s="247"/>
    </row>
    <row r="1007" spans="1:27" ht="14.1" customHeight="1">
      <c r="A1007" s="1011"/>
      <c r="B1007" s="1035"/>
      <c r="C1007" s="1036"/>
      <c r="D1007" s="1036"/>
      <c r="E1007" s="1036">
        <v>1</v>
      </c>
      <c r="F1007" s="1036"/>
      <c r="G1007" s="1036"/>
      <c r="H1007" s="1037"/>
      <c r="I1007" s="1038"/>
      <c r="J1007" s="1039" t="s">
        <v>309</v>
      </c>
      <c r="K1007" s="1040"/>
      <c r="L1007" s="1041"/>
      <c r="M1007" s="1042"/>
      <c r="N1007" s="831"/>
      <c r="O1007" s="247"/>
      <c r="P1007" s="247"/>
      <c r="Q1007" s="209"/>
      <c r="R1007" s="209"/>
      <c r="S1007" s="247"/>
      <c r="T1007" s="247"/>
      <c r="U1007" s="247"/>
      <c r="V1007" s="247"/>
      <c r="W1007" s="247"/>
      <c r="X1007" s="247"/>
      <c r="Y1007" s="247"/>
      <c r="Z1007" s="247"/>
      <c r="AA1007" s="247"/>
    </row>
    <row r="1008" spans="1:27" ht="14.1" customHeight="1">
      <c r="A1008" s="1011"/>
      <c r="B1008" s="1043"/>
      <c r="C1008" s="1044"/>
      <c r="D1008" s="1044"/>
      <c r="E1008" s="1044">
        <v>5</v>
      </c>
      <c r="F1008" s="1044"/>
      <c r="G1008" s="1044"/>
      <c r="H1008" s="1045"/>
      <c r="I1008" s="1046"/>
      <c r="J1008" s="1047" t="s">
        <v>310</v>
      </c>
      <c r="K1008" s="1048"/>
      <c r="L1008" s="1049"/>
      <c r="M1008" s="1049"/>
      <c r="N1008" s="832"/>
      <c r="O1008" s="609">
        <f>O1005</f>
        <v>702026</v>
      </c>
      <c r="P1008" s="207">
        <f>O1008-696049</f>
        <v>5977</v>
      </c>
      <c r="Q1008" s="247"/>
      <c r="R1008" s="298"/>
      <c r="S1008" s="247"/>
      <c r="T1008" s="247"/>
      <c r="U1008" s="247"/>
      <c r="V1008" s="247"/>
      <c r="W1008" s="247"/>
      <c r="X1008" s="247"/>
      <c r="Y1008" s="247"/>
      <c r="Z1008" s="247"/>
      <c r="AA1008" s="247"/>
    </row>
    <row r="1009" spans="1:27" ht="14.1" customHeight="1">
      <c r="A1009" s="1011"/>
      <c r="B1009" s="1043"/>
      <c r="C1009" s="1044"/>
      <c r="D1009" s="1044"/>
      <c r="E1009" s="1044">
        <v>5</v>
      </c>
      <c r="F1009" s="1044"/>
      <c r="G1009" s="1044"/>
      <c r="H1009" s="1045"/>
      <c r="I1009" s="1046"/>
      <c r="J1009" s="1047" t="s">
        <v>311</v>
      </c>
      <c r="K1009" s="1048"/>
      <c r="L1009" s="1049"/>
      <c r="M1009" s="1049"/>
      <c r="N1009" s="832"/>
      <c r="O1009" s="609"/>
      <c r="P1009" s="207"/>
      <c r="Q1009" s="247"/>
      <c r="R1009" s="247"/>
      <c r="S1009" s="247"/>
      <c r="T1009" s="247"/>
      <c r="U1009" s="298"/>
      <c r="V1009" s="298"/>
      <c r="W1009" s="247"/>
      <c r="X1009" s="247"/>
      <c r="Y1009" s="247"/>
      <c r="Z1009" s="247"/>
      <c r="AA1009" s="247"/>
    </row>
    <row r="1010" spans="1:27" ht="14.1" customHeight="1" thickBot="1">
      <c r="A1010" s="1010"/>
      <c r="B1010" s="1050"/>
      <c r="C1010" s="1051"/>
      <c r="D1010" s="1051"/>
      <c r="E1010" s="1051">
        <v>6</v>
      </c>
      <c r="F1010" s="1051"/>
      <c r="G1010" s="1051"/>
      <c r="H1010" s="1052"/>
      <c r="I1010" s="1053"/>
      <c r="J1010" s="1054" t="s">
        <v>312</v>
      </c>
      <c r="K1010" s="1055"/>
      <c r="L1010" s="1056"/>
      <c r="M1010" s="1056"/>
      <c r="N1010" s="832"/>
      <c r="O1010" s="609">
        <f>M1012-32074493</f>
        <v>0</v>
      </c>
      <c r="P1010" s="207"/>
      <c r="Q1010" s="247"/>
      <c r="R1010" s="298"/>
      <c r="S1010" s="247"/>
      <c r="T1010" s="247"/>
      <c r="U1010" s="247"/>
      <c r="V1010" s="247"/>
      <c r="W1010" s="247"/>
      <c r="X1010" s="247"/>
      <c r="Y1010" s="247"/>
      <c r="Z1010" s="247"/>
      <c r="AA1010" s="247"/>
    </row>
    <row r="1011" spans="1:27" ht="16.5" customHeight="1" thickBot="1">
      <c r="A1011" s="1010"/>
      <c r="B1011" s="1057"/>
      <c r="C1011" s="1058"/>
      <c r="D1011" s="1058"/>
      <c r="E1011" s="1058"/>
      <c r="F1011" s="1058"/>
      <c r="G1011" s="1058"/>
      <c r="H1011" s="1058"/>
      <c r="I1011" s="1059"/>
      <c r="J1011" s="1060" t="s">
        <v>313</v>
      </c>
      <c r="K1011" s="1061">
        <f>SUM(K1012+K1027+K1030+K1109+K1110)</f>
        <v>68260</v>
      </c>
      <c r="L1011" s="1061">
        <f>SUM(L1012+L1027+L1030+L1109+L1110)</f>
        <v>58524</v>
      </c>
      <c r="M1011" s="1062">
        <f>SUM(M1012+M1027+M1030+M1109+M1110)</f>
        <v>56270915</v>
      </c>
      <c r="N1011" s="832"/>
      <c r="O1011" s="609"/>
      <c r="P1011" s="207"/>
      <c r="Q1011" s="247"/>
      <c r="R1011" s="298"/>
      <c r="S1011" s="247"/>
      <c r="T1011" s="247"/>
      <c r="U1011" s="247"/>
      <c r="V1011" s="247"/>
      <c r="W1011" s="247"/>
      <c r="X1011" s="247"/>
      <c r="Y1011" s="247"/>
      <c r="Z1011" s="247"/>
      <c r="AA1011" s="247"/>
    </row>
    <row r="1012" spans="1:27" ht="16.5" thickBot="1">
      <c r="A1012" s="1010"/>
      <c r="B1012" s="1063"/>
      <c r="C1012" s="1064"/>
      <c r="D1012" s="1064"/>
      <c r="E1012" s="1064"/>
      <c r="F1012" s="1064"/>
      <c r="G1012" s="1064"/>
      <c r="H1012" s="1065">
        <v>600</v>
      </c>
      <c r="I1012" s="1066"/>
      <c r="J1012" s="1067" t="s">
        <v>314</v>
      </c>
      <c r="K1012" s="1068">
        <f>SUM(K1013+K1014+K1015+K1016+K1017+K1018+K1019+K1020+K1021+K1022+K1023+K1024+K1025+K1026)</f>
        <v>40700</v>
      </c>
      <c r="L1012" s="1068">
        <f>L1013+L1023+L1026</f>
        <v>34074</v>
      </c>
      <c r="M1012" s="1069">
        <f>M1013+M1023+M1026</f>
        <v>32074493</v>
      </c>
      <c r="N1012" s="833"/>
      <c r="O1012" s="609"/>
      <c r="P1012" s="207"/>
      <c r="Q1012" s="247"/>
      <c r="R1012" s="209"/>
      <c r="S1012" s="247"/>
      <c r="T1012" s="247"/>
      <c r="U1012" s="247"/>
      <c r="V1012" s="298"/>
      <c r="W1012" s="247"/>
      <c r="X1012" s="247"/>
      <c r="Y1012" s="247"/>
      <c r="Z1012" s="247"/>
      <c r="AA1012" s="247"/>
    </row>
    <row r="1013" spans="1:27">
      <c r="A1013" s="1010"/>
      <c r="B1013" s="1070"/>
      <c r="C1013" s="1071"/>
      <c r="D1013" s="1071"/>
      <c r="E1013" s="1071"/>
      <c r="F1013" s="1071"/>
      <c r="G1013" s="1071"/>
      <c r="H1013" s="1072"/>
      <c r="I1013" s="1073">
        <v>600.1</v>
      </c>
      <c r="J1013" s="1074" t="s">
        <v>315</v>
      </c>
      <c r="K1013" s="1075">
        <f>41700-1000</f>
        <v>40700</v>
      </c>
      <c r="L1013" s="1076">
        <v>34074</v>
      </c>
      <c r="M1013" s="1077">
        <f>SUM(M1014:M1018)</f>
        <v>32025493</v>
      </c>
      <c r="N1013" s="948"/>
      <c r="O1013" s="949"/>
      <c r="P1013" s="949"/>
      <c r="Q1013" s="247"/>
      <c r="R1013" s="209"/>
      <c r="S1013" s="247"/>
      <c r="T1013" s="247"/>
      <c r="U1013" s="247"/>
      <c r="V1013" s="247"/>
      <c r="W1013" s="247"/>
      <c r="X1013" s="209"/>
      <c r="Y1013" s="209"/>
      <c r="Z1013" s="209"/>
      <c r="AA1013" s="209"/>
    </row>
    <row r="1014" spans="1:27">
      <c r="A1014" s="1010"/>
      <c r="B1014" s="1078"/>
      <c r="C1014" s="1079"/>
      <c r="D1014" s="1079"/>
      <c r="E1014" s="1079"/>
      <c r="F1014" s="1079"/>
      <c r="G1014" s="1079"/>
      <c r="H1014" s="1080"/>
      <c r="I1014" s="1081">
        <v>600.1001</v>
      </c>
      <c r="J1014" s="1082" t="s">
        <v>316</v>
      </c>
      <c r="K1014" s="1083"/>
      <c r="L1014" s="1084"/>
      <c r="M1014" s="1220">
        <v>23694634</v>
      </c>
      <c r="N1014" s="950">
        <v>2395800</v>
      </c>
      <c r="O1014" s="949">
        <f>M1014+N1014</f>
        <v>26090434</v>
      </c>
      <c r="P1014" s="951"/>
      <c r="Q1014" s="247"/>
      <c r="R1014" s="209"/>
      <c r="S1014" s="286"/>
      <c r="T1014" s="286"/>
      <c r="U1014" s="286"/>
      <c r="V1014" s="298"/>
      <c r="W1014" s="209"/>
      <c r="X1014" s="247"/>
      <c r="Y1014" s="247"/>
      <c r="Z1014" s="247"/>
      <c r="AA1014" s="247"/>
    </row>
    <row r="1015" spans="1:27">
      <c r="A1015" s="1010"/>
      <c r="B1015" s="1078"/>
      <c r="C1015" s="1079"/>
      <c r="D1015" s="1079"/>
      <c r="E1015" s="1079"/>
      <c r="F1015" s="1079"/>
      <c r="G1015" s="1079"/>
      <c r="H1015" s="1080"/>
      <c r="I1015" s="1081">
        <v>600.10019999999997</v>
      </c>
      <c r="J1015" s="1082" t="s">
        <v>317</v>
      </c>
      <c r="K1015" s="1083"/>
      <c r="L1015" s="1084"/>
      <c r="M1015" s="1220">
        <v>35396</v>
      </c>
      <c r="N1015" s="950">
        <v>20418</v>
      </c>
      <c r="O1015" s="949">
        <f>M1015+N1015</f>
        <v>55814</v>
      </c>
      <c r="P1015" s="951"/>
      <c r="Q1015" s="247"/>
      <c r="R1015" s="718"/>
      <c r="S1015" s="247"/>
      <c r="T1015" s="247"/>
      <c r="U1015" s="247"/>
      <c r="V1015" s="298"/>
      <c r="W1015" s="247"/>
      <c r="X1015" s="247"/>
      <c r="Y1015" s="247"/>
      <c r="Z1015" s="247"/>
      <c r="AA1015" s="247"/>
    </row>
    <row r="1016" spans="1:27">
      <c r="A1016" s="1010"/>
      <c r="B1016" s="1078"/>
      <c r="C1016" s="1079"/>
      <c r="D1016" s="1079"/>
      <c r="E1016" s="1079"/>
      <c r="F1016" s="1079"/>
      <c r="G1016" s="1079"/>
      <c r="H1016" s="1080"/>
      <c r="I1016" s="1081">
        <v>600.10029999999995</v>
      </c>
      <c r="J1016" s="1082" t="s">
        <v>318</v>
      </c>
      <c r="K1016" s="1083"/>
      <c r="L1016" s="1084"/>
      <c r="M1016" s="1220">
        <v>1714832</v>
      </c>
      <c r="N1016" s="950">
        <v>161084</v>
      </c>
      <c r="O1016" s="949">
        <f>M1016+N1016</f>
        <v>1875916</v>
      </c>
      <c r="P1016" s="951"/>
      <c r="Q1016" s="247"/>
      <c r="R1016" s="247"/>
      <c r="S1016" s="247"/>
      <c r="T1016" s="247"/>
      <c r="U1016" s="247"/>
      <c r="V1016" s="298"/>
      <c r="W1016" s="247"/>
      <c r="X1016" s="247"/>
      <c r="Y1016" s="247"/>
      <c r="Z1016" s="247"/>
      <c r="AA1016" s="247"/>
    </row>
    <row r="1017" spans="1:27">
      <c r="A1017" s="1010"/>
      <c r="B1017" s="1078"/>
      <c r="C1017" s="1079"/>
      <c r="D1017" s="1079"/>
      <c r="E1017" s="1079"/>
      <c r="F1017" s="1079"/>
      <c r="G1017" s="1079"/>
      <c r="H1017" s="1080"/>
      <c r="I1017" s="1081">
        <v>600.10050000000001</v>
      </c>
      <c r="J1017" s="1082" t="s">
        <v>475</v>
      </c>
      <c r="K1017" s="1083"/>
      <c r="L1017" s="1084"/>
      <c r="M1017" s="1220">
        <v>6292893</v>
      </c>
      <c r="N1017" s="950">
        <v>602925</v>
      </c>
      <c r="O1017" s="949">
        <f>M1017+N1017</f>
        <v>6895818</v>
      </c>
      <c r="P1017" s="951"/>
      <c r="Q1017" s="718"/>
      <c r="R1017" s="718"/>
      <c r="S1017" s="247"/>
      <c r="T1017" s="247"/>
      <c r="U1017" s="247"/>
      <c r="V1017" s="247"/>
      <c r="W1017" s="247"/>
      <c r="X1017" s="247"/>
      <c r="Y1017" s="247"/>
      <c r="Z1017" s="247"/>
      <c r="AA1017" s="247"/>
    </row>
    <row r="1018" spans="1:27">
      <c r="A1018" s="1010"/>
      <c r="B1018" s="1078"/>
      <c r="C1018" s="1079"/>
      <c r="D1018" s="1079"/>
      <c r="E1018" s="1079"/>
      <c r="F1018" s="1079"/>
      <c r="G1018" s="1079"/>
      <c r="H1018" s="1080"/>
      <c r="I1018" s="1081"/>
      <c r="J1018" s="1082" t="s">
        <v>326</v>
      </c>
      <c r="K1018" s="1083"/>
      <c r="L1018" s="1086"/>
      <c r="M1018" s="1220">
        <f>289441-1703</f>
        <v>287738</v>
      </c>
      <c r="N1018" s="950">
        <v>4892</v>
      </c>
      <c r="O1018" s="949">
        <f>M1018+N1018</f>
        <v>292630</v>
      </c>
      <c r="P1018" s="951"/>
      <c r="Q1018" s="718"/>
      <c r="R1018" s="718"/>
      <c r="S1018" s="247"/>
      <c r="T1018" s="247"/>
      <c r="U1018" s="247"/>
      <c r="V1018" s="247"/>
      <c r="W1018" s="247"/>
      <c r="X1018" s="247"/>
      <c r="Y1018" s="247"/>
      <c r="Z1018" s="247"/>
      <c r="AA1018" s="247"/>
    </row>
    <row r="1019" spans="1:27">
      <c r="A1019" s="1010"/>
      <c r="B1019" s="1087"/>
      <c r="C1019" s="1079"/>
      <c r="D1019" s="1079"/>
      <c r="E1019" s="1079"/>
      <c r="F1019" s="1079"/>
      <c r="G1019" s="1079"/>
      <c r="H1019" s="1080"/>
      <c r="I1019" s="1081">
        <v>600.20000000000005</v>
      </c>
      <c r="J1019" s="1082" t="s">
        <v>320</v>
      </c>
      <c r="K1019" s="1083"/>
      <c r="L1019" s="1088"/>
      <c r="M1019" s="1089"/>
      <c r="N1019" s="950">
        <f>SUM(N1014:N1018)</f>
        <v>3185119</v>
      </c>
      <c r="O1019" s="949"/>
      <c r="P1019" s="949"/>
      <c r="Q1019" s="718"/>
      <c r="R1019" s="718"/>
      <c r="S1019" s="298"/>
      <c r="T1019" s="247"/>
      <c r="U1019" s="247"/>
      <c r="V1019" s="247"/>
      <c r="W1019" s="247"/>
      <c r="X1019" s="247"/>
      <c r="Y1019" s="247"/>
      <c r="Z1019" s="247"/>
      <c r="AA1019" s="247"/>
    </row>
    <row r="1020" spans="1:27">
      <c r="A1020" s="1010"/>
      <c r="B1020" s="1087"/>
      <c r="C1020" s="1079"/>
      <c r="D1020" s="1079"/>
      <c r="E1020" s="1079"/>
      <c r="F1020" s="1079"/>
      <c r="G1020" s="1079"/>
      <c r="H1020" s="1080"/>
      <c r="I1020" s="1081">
        <v>600.21</v>
      </c>
      <c r="J1020" s="1082" t="s">
        <v>321</v>
      </c>
      <c r="K1020" s="1083"/>
      <c r="L1020" s="1089"/>
      <c r="M1020" s="1089"/>
      <c r="N1020" s="950"/>
      <c r="O1020" s="951"/>
      <c r="P1020" s="951"/>
      <c r="Q1020" s="209"/>
      <c r="R1020" s="247"/>
      <c r="S1020" s="247"/>
      <c r="T1020" s="247"/>
      <c r="U1020" s="247"/>
      <c r="V1020" s="298"/>
      <c r="W1020" s="247"/>
      <c r="X1020" s="247"/>
      <c r="Y1020" s="247"/>
      <c r="Z1020" s="247"/>
      <c r="AA1020" s="247"/>
    </row>
    <row r="1021" spans="1:27">
      <c r="A1021" s="1010"/>
      <c r="B1021" s="1087"/>
      <c r="C1021" s="1079"/>
      <c r="D1021" s="1079"/>
      <c r="E1021" s="1079"/>
      <c r="F1021" s="1079"/>
      <c r="G1021" s="1079"/>
      <c r="H1021" s="1080"/>
      <c r="I1021" s="1081">
        <v>600.22</v>
      </c>
      <c r="J1021" s="1082" t="s">
        <v>322</v>
      </c>
      <c r="K1021" s="1083"/>
      <c r="L1021" s="1089"/>
      <c r="M1021" s="1089"/>
      <c r="N1021" s="950"/>
      <c r="O1021" s="952"/>
      <c r="P1021" s="953"/>
      <c r="Q1021" s="808"/>
      <c r="R1021" s="209"/>
      <c r="S1021" s="247"/>
      <c r="T1021" s="247"/>
      <c r="U1021" s="247"/>
      <c r="V1021" s="748"/>
      <c r="W1021" s="247"/>
      <c r="X1021" s="247"/>
      <c r="Y1021" s="247"/>
      <c r="Z1021" s="247"/>
      <c r="AA1021" s="247"/>
    </row>
    <row r="1022" spans="1:27">
      <c r="A1022" s="1010"/>
      <c r="B1022" s="1087"/>
      <c r="C1022" s="1079"/>
      <c r="D1022" s="1079"/>
      <c r="E1022" s="1079"/>
      <c r="F1022" s="1079"/>
      <c r="G1022" s="1079"/>
      <c r="H1022" s="1080"/>
      <c r="I1022" s="1081">
        <v>600.29</v>
      </c>
      <c r="J1022" s="1082" t="s">
        <v>323</v>
      </c>
      <c r="K1022" s="1083"/>
      <c r="L1022" s="1089"/>
      <c r="M1022" s="1089"/>
      <c r="N1022" s="950"/>
      <c r="O1022" s="950"/>
      <c r="P1022" s="954"/>
      <c r="Q1022" s="752"/>
      <c r="R1022" s="749"/>
      <c r="S1022" s="247"/>
      <c r="T1022" s="247"/>
      <c r="U1022" s="247"/>
      <c r="V1022" s="748"/>
      <c r="W1022" s="209"/>
      <c r="X1022" s="247"/>
      <c r="Y1022" s="247"/>
      <c r="Z1022" s="247"/>
      <c r="AA1022" s="247"/>
    </row>
    <row r="1023" spans="1:27">
      <c r="A1023" s="1010"/>
      <c r="B1023" s="1087"/>
      <c r="C1023" s="1079"/>
      <c r="D1023" s="1079"/>
      <c r="E1023" s="1079"/>
      <c r="F1023" s="1079"/>
      <c r="G1023" s="1079"/>
      <c r="H1023" s="1080"/>
      <c r="I1023" s="1081">
        <v>600.29999999999995</v>
      </c>
      <c r="J1023" s="1082" t="s">
        <v>324</v>
      </c>
      <c r="K1023" s="1083"/>
      <c r="L1023" s="1089"/>
      <c r="M1023" s="1089">
        <v>49000</v>
      </c>
      <c r="N1023" s="950"/>
      <c r="O1023" s="951"/>
      <c r="P1023" s="949"/>
      <c r="Q1023" s="752"/>
      <c r="R1023" s="749"/>
      <c r="S1023" s="286">
        <f>M1030-M908</f>
        <v>18799455</v>
      </c>
      <c r="T1023" s="209"/>
      <c r="U1023" s="247"/>
      <c r="V1023" s="247"/>
      <c r="W1023" s="247"/>
      <c r="X1023" s="247"/>
      <c r="Y1023" s="247"/>
      <c r="Z1023" s="247"/>
      <c r="AA1023" s="247"/>
    </row>
    <row r="1024" spans="1:27">
      <c r="A1024" s="1010"/>
      <c r="B1024" s="1087"/>
      <c r="C1024" s="1079"/>
      <c r="D1024" s="1079"/>
      <c r="E1024" s="1079"/>
      <c r="F1024" s="1079"/>
      <c r="G1024" s="1079"/>
      <c r="H1024" s="1080"/>
      <c r="I1024" s="1081">
        <v>600.30999999999995</v>
      </c>
      <c r="J1024" s="1082" t="s">
        <v>325</v>
      </c>
      <c r="K1024" s="1083"/>
      <c r="L1024" s="1089"/>
      <c r="M1024" s="1089"/>
      <c r="N1024" s="950"/>
      <c r="O1024" s="950"/>
      <c r="P1024" s="954"/>
      <c r="Q1024" s="752"/>
      <c r="R1024" s="749"/>
      <c r="S1024" s="247"/>
      <c r="T1024" s="784"/>
      <c r="U1024" s="209"/>
      <c r="V1024" s="247"/>
      <c r="W1024" s="247"/>
      <c r="X1024" s="247"/>
      <c r="Y1024" s="247"/>
      <c r="Z1024" s="247"/>
      <c r="AA1024" s="247"/>
    </row>
    <row r="1025" spans="1:27" ht="13.5" thickBot="1">
      <c r="A1025" s="1010"/>
      <c r="B1025" s="1087"/>
      <c r="C1025" s="1079"/>
      <c r="D1025" s="1079"/>
      <c r="E1025" s="1079"/>
      <c r="F1025" s="1079"/>
      <c r="G1025" s="1079"/>
      <c r="H1025" s="1080"/>
      <c r="I1025" s="1081"/>
      <c r="J1025" s="1082" t="s">
        <v>323</v>
      </c>
      <c r="K1025" s="1083"/>
      <c r="L1025" s="1090"/>
      <c r="M1025" s="1091"/>
      <c r="N1025" s="950"/>
      <c r="O1025" s="950"/>
      <c r="P1025" s="954"/>
      <c r="Q1025" s="752"/>
      <c r="R1025" s="749"/>
      <c r="S1025" s="247"/>
      <c r="T1025" s="784"/>
      <c r="U1025" s="209"/>
      <c r="V1025" s="247"/>
      <c r="W1025" s="247"/>
      <c r="X1025" s="247"/>
      <c r="Y1025" s="247"/>
      <c r="Z1025" s="247"/>
      <c r="AA1025" s="247"/>
    </row>
    <row r="1026" spans="1:27" ht="13.5" thickBot="1">
      <c r="A1026" s="1010"/>
      <c r="B1026" s="1092"/>
      <c r="C1026" s="1093"/>
      <c r="D1026" s="1093"/>
      <c r="E1026" s="1093"/>
      <c r="F1026" s="1093"/>
      <c r="G1026" s="1093"/>
      <c r="H1026" s="1094"/>
      <c r="I1026" s="1095">
        <v>600.9</v>
      </c>
      <c r="J1026" s="1096" t="s">
        <v>437</v>
      </c>
      <c r="K1026" s="1097"/>
      <c r="L1026" s="1098"/>
      <c r="M1026" s="1099"/>
      <c r="N1026" s="955"/>
      <c r="O1026" s="950"/>
      <c r="P1026" s="954"/>
      <c r="Q1026" s="752"/>
      <c r="R1026" s="807"/>
      <c r="S1026" s="298"/>
      <c r="T1026" s="298"/>
      <c r="U1026" s="298"/>
      <c r="V1026" s="786"/>
      <c r="W1026" s="247"/>
      <c r="X1026" s="247"/>
      <c r="Y1026" s="247"/>
      <c r="Z1026" s="247"/>
      <c r="AA1026" s="247"/>
    </row>
    <row r="1027" spans="1:27" ht="13.5" thickBot="1">
      <c r="A1027" s="1010"/>
      <c r="B1027" s="1063"/>
      <c r="C1027" s="1064"/>
      <c r="D1027" s="1064"/>
      <c r="E1027" s="1064"/>
      <c r="F1027" s="1064"/>
      <c r="G1027" s="1064"/>
      <c r="H1027" s="1065">
        <v>601</v>
      </c>
      <c r="I1027" s="1066"/>
      <c r="J1027" s="1067" t="s">
        <v>328</v>
      </c>
      <c r="K1027" s="1068">
        <f>K1028</f>
        <v>6360</v>
      </c>
      <c r="L1027" s="1068">
        <f>SUM(L1028:L1029)</f>
        <v>5250</v>
      </c>
      <c r="M1027" s="1069">
        <f>SUM(M1028+M1029)</f>
        <v>5227527</v>
      </c>
      <c r="N1027" s="955"/>
      <c r="O1027" s="950"/>
      <c r="P1027" s="951"/>
      <c r="Q1027" s="286"/>
      <c r="R1027" s="298"/>
      <c r="S1027" s="298"/>
      <c r="T1027" s="786"/>
      <c r="U1027" s="247"/>
      <c r="V1027" s="247"/>
      <c r="W1027" s="247"/>
      <c r="X1027" s="247"/>
      <c r="Y1027" s="247"/>
      <c r="Z1027" s="247"/>
      <c r="AA1027" s="247"/>
    </row>
    <row r="1028" spans="1:27">
      <c r="A1028" s="1010"/>
      <c r="B1028" s="1100"/>
      <c r="C1028" s="1101"/>
      <c r="D1028" s="1101"/>
      <c r="E1028" s="1101"/>
      <c r="F1028" s="1101"/>
      <c r="G1028" s="1101"/>
      <c r="H1028" s="1102"/>
      <c r="I1028" s="1103">
        <v>601.01</v>
      </c>
      <c r="J1028" s="1074" t="s">
        <v>329</v>
      </c>
      <c r="K1028" s="1075">
        <f>6660-300</f>
        <v>6360</v>
      </c>
      <c r="L1028" s="1075">
        <v>5250</v>
      </c>
      <c r="M1028" s="1219">
        <v>4696523</v>
      </c>
      <c r="N1028" s="948"/>
      <c r="O1028" s="949"/>
      <c r="P1028" s="956"/>
      <c r="Q1028" s="753"/>
      <c r="R1028" s="209"/>
      <c r="S1028" s="298"/>
      <c r="T1028" s="790"/>
      <c r="U1028" s="247"/>
      <c r="V1028" s="247"/>
      <c r="W1028" s="209"/>
      <c r="X1028" s="209"/>
      <c r="Y1028" s="209"/>
      <c r="Z1028" s="209"/>
      <c r="AA1028" s="209"/>
    </row>
    <row r="1029" spans="1:27" ht="14.25" thickBot="1">
      <c r="A1029" s="1010"/>
      <c r="B1029" s="1092"/>
      <c r="C1029" s="1093"/>
      <c r="D1029" s="1093"/>
      <c r="E1029" s="1093"/>
      <c r="F1029" s="1093"/>
      <c r="G1029" s="1093"/>
      <c r="H1029" s="1094"/>
      <c r="I1029" s="1106">
        <v>601.11</v>
      </c>
      <c r="J1029" s="1096" t="s">
        <v>330</v>
      </c>
      <c r="K1029" s="1107"/>
      <c r="L1029" s="1108"/>
      <c r="M1029" s="1219">
        <v>531004</v>
      </c>
      <c r="N1029" s="950">
        <f>O1029/2</f>
        <v>53299.5</v>
      </c>
      <c r="O1029" s="957">
        <v>106599</v>
      </c>
      <c r="P1029" s="951"/>
      <c r="Q1029" s="298"/>
      <c r="R1029" s="247"/>
      <c r="S1029" s="298"/>
      <c r="T1029" s="790"/>
      <c r="V1029" s="247"/>
      <c r="W1029" s="247"/>
      <c r="X1029" s="247"/>
      <c r="Y1029" s="247"/>
      <c r="Z1029" s="247"/>
      <c r="AA1029" s="247"/>
    </row>
    <row r="1030" spans="1:27" ht="13.5" thickBot="1">
      <c r="A1030" s="1010"/>
      <c r="B1030" s="1109"/>
      <c r="C1030" s="1110"/>
      <c r="D1030" s="1110"/>
      <c r="E1030" s="1110"/>
      <c r="F1030" s="1110"/>
      <c r="G1030" s="1110"/>
      <c r="H1030" s="1065">
        <v>602</v>
      </c>
      <c r="I1030" s="1111"/>
      <c r="J1030" s="1067" t="s">
        <v>170</v>
      </c>
      <c r="K1030" s="1112">
        <f>SUM(K1031+K1038+K1051+K1066+K1071+K1074+K1083+K1089+K1096+K1099)</f>
        <v>21200</v>
      </c>
      <c r="L1030" s="1112">
        <f>SUM(L1031+L1038+L1051+L1066+L1071+L1074+L1083+L1089+L1096+L1099)</f>
        <v>19200</v>
      </c>
      <c r="M1030" s="1113">
        <f>SUM(M1031+M1038+M1051+M1066+M1071+M1074+M1083+M1089+M1096+M1099)</f>
        <v>18968895</v>
      </c>
      <c r="N1030" s="948"/>
      <c r="O1030" s="957"/>
      <c r="P1030" s="951"/>
      <c r="Q1030" s="793"/>
      <c r="R1030" s="247"/>
      <c r="S1030" s="247"/>
      <c r="T1030" s="247"/>
      <c r="U1030" s="247"/>
      <c r="V1030" s="247"/>
      <c r="W1030" s="247"/>
      <c r="X1030" s="247"/>
      <c r="Y1030" s="247"/>
      <c r="Z1030" s="247"/>
      <c r="AA1030" s="247"/>
    </row>
    <row r="1031" spans="1:27" ht="13.5" thickBot="1">
      <c r="A1031" s="1010"/>
      <c r="B1031" s="1114"/>
      <c r="C1031" s="1115"/>
      <c r="D1031" s="1115"/>
      <c r="E1031" s="1115"/>
      <c r="F1031" s="1115"/>
      <c r="G1031" s="1115"/>
      <c r="H1031" s="1116"/>
      <c r="I1031" s="1117">
        <v>6020</v>
      </c>
      <c r="J1031" s="1118" t="s">
        <v>331</v>
      </c>
      <c r="K1031" s="1119">
        <v>21200</v>
      </c>
      <c r="L1031" s="1119">
        <v>19200</v>
      </c>
      <c r="M1031" s="1120">
        <f>SUM(M1032+M1033+M1034+M1035+M1036+M1037)</f>
        <v>1488120</v>
      </c>
      <c r="N1031" s="958"/>
      <c r="O1031" s="959"/>
      <c r="P1031" s="956"/>
      <c r="Q1031" s="806"/>
      <c r="R1031" s="319"/>
      <c r="S1031" s="682"/>
      <c r="T1031" s="319"/>
      <c r="U1031" s="298"/>
      <c r="V1031" s="298"/>
      <c r="W1031" s="247"/>
      <c r="X1031" s="247"/>
      <c r="Y1031" s="319"/>
      <c r="Z1031" s="319"/>
      <c r="AA1031" s="319"/>
    </row>
    <row r="1032" spans="1:27">
      <c r="A1032" s="1010"/>
      <c r="B1032" s="1121"/>
      <c r="C1032" s="1122"/>
      <c r="D1032" s="1122"/>
      <c r="E1032" s="1122"/>
      <c r="F1032" s="1122"/>
      <c r="G1032" s="1122"/>
      <c r="H1032" s="1123"/>
      <c r="I1032" s="1124" t="s">
        <v>11</v>
      </c>
      <c r="J1032" s="1125" t="s">
        <v>172</v>
      </c>
      <c r="K1032" s="1126"/>
      <c r="L1032" s="1127"/>
      <c r="M1032" s="1127">
        <v>393500</v>
      </c>
      <c r="N1032" s="960"/>
      <c r="O1032" s="961"/>
      <c r="P1032" s="951"/>
      <c r="Q1032" s="799"/>
      <c r="V1032" s="298"/>
      <c r="W1032" s="247"/>
      <c r="X1032" s="247"/>
    </row>
    <row r="1033" spans="1:27">
      <c r="A1033" s="1010"/>
      <c r="B1033" s="1128"/>
      <c r="C1033" s="1129"/>
      <c r="D1033" s="1129"/>
      <c r="E1033" s="1129"/>
      <c r="F1033" s="1129"/>
      <c r="G1033" s="1129"/>
      <c r="H1033" s="1130"/>
      <c r="I1033" s="1131">
        <v>602.02</v>
      </c>
      <c r="J1033" s="699" t="s">
        <v>332</v>
      </c>
      <c r="K1033" s="1132"/>
      <c r="L1033" s="1133"/>
      <c r="M1033" s="1133">
        <v>169440</v>
      </c>
      <c r="N1033" s="962"/>
      <c r="O1033" s="961"/>
      <c r="P1033" s="952"/>
      <c r="Q1033" s="947"/>
      <c r="S1033" s="682"/>
      <c r="V1033" s="298"/>
      <c r="W1033" s="247"/>
      <c r="X1033" s="247"/>
    </row>
    <row r="1034" spans="1:27">
      <c r="A1034" s="1010"/>
      <c r="B1034" s="1134"/>
      <c r="C1034" s="1135"/>
      <c r="D1034" s="1135"/>
      <c r="E1034" s="1135"/>
      <c r="F1034" s="1135"/>
      <c r="G1034" s="1135"/>
      <c r="H1034" s="1136"/>
      <c r="I1034" s="1081">
        <v>602.03</v>
      </c>
      <c r="J1034" s="700" t="s">
        <v>528</v>
      </c>
      <c r="K1034" s="1137"/>
      <c r="L1034" s="1138"/>
      <c r="M1034" s="1138">
        <v>357000</v>
      </c>
      <c r="N1034" s="962"/>
      <c r="O1034" s="1221"/>
      <c r="P1034" s="961"/>
      <c r="Q1034" s="800"/>
    </row>
    <row r="1035" spans="1:27">
      <c r="A1035" s="1011"/>
      <c r="B1035" s="1134"/>
      <c r="C1035" s="1135"/>
      <c r="D1035" s="1135"/>
      <c r="E1035" s="1135"/>
      <c r="F1035" s="1135"/>
      <c r="G1035" s="1135"/>
      <c r="H1035" s="1136"/>
      <c r="I1035" s="1081">
        <v>602.04</v>
      </c>
      <c r="J1035" s="700" t="s">
        <v>334</v>
      </c>
      <c r="K1035" s="1137"/>
      <c r="L1035" s="1138"/>
      <c r="M1035" s="1138"/>
      <c r="N1035" s="962"/>
      <c r="O1035" s="1221"/>
      <c r="P1035" s="961"/>
      <c r="Q1035" s="800"/>
    </row>
    <row r="1036" spans="1:27">
      <c r="A1036" s="1011"/>
      <c r="B1036" s="1134"/>
      <c r="C1036" s="1135"/>
      <c r="D1036" s="1135"/>
      <c r="E1036" s="1135"/>
      <c r="F1036" s="1135"/>
      <c r="G1036" s="1135"/>
      <c r="H1036" s="1136"/>
      <c r="I1036" s="1081">
        <v>602.04999999999995</v>
      </c>
      <c r="J1036" s="700" t="s">
        <v>529</v>
      </c>
      <c r="K1036" s="1137"/>
      <c r="L1036" s="1138"/>
      <c r="M1036" s="1138">
        <v>390100</v>
      </c>
      <c r="N1036" s="962"/>
      <c r="O1036" s="954"/>
      <c r="P1036" s="961"/>
      <c r="Q1036" s="800"/>
    </row>
    <row r="1037" spans="1:27" ht="13.5" thickBot="1">
      <c r="A1037" s="1011"/>
      <c r="B1037" s="1139"/>
      <c r="C1037" s="1140"/>
      <c r="D1037" s="1140"/>
      <c r="E1037" s="1140"/>
      <c r="F1037" s="1140"/>
      <c r="G1037" s="1140"/>
      <c r="H1037" s="1141"/>
      <c r="I1037" s="1095">
        <v>602.09</v>
      </c>
      <c r="J1037" s="1142" t="s">
        <v>530</v>
      </c>
      <c r="K1037" s="1143"/>
      <c r="L1037" s="1144"/>
      <c r="M1037" s="1144">
        <v>178080</v>
      </c>
      <c r="N1037" s="962"/>
      <c r="O1037" s="952"/>
      <c r="P1037" s="961"/>
      <c r="Q1037" s="800"/>
    </row>
    <row r="1038" spans="1:27" ht="13.5" thickBot="1">
      <c r="A1038" s="1011"/>
      <c r="B1038" s="1114"/>
      <c r="C1038" s="1115"/>
      <c r="D1038" s="1115"/>
      <c r="E1038" s="1115"/>
      <c r="F1038" s="1115"/>
      <c r="G1038" s="1115"/>
      <c r="H1038" s="1116"/>
      <c r="I1038" s="1117">
        <v>602.1</v>
      </c>
      <c r="J1038" s="1118" t="s">
        <v>336</v>
      </c>
      <c r="K1038" s="1145">
        <f>SUM(K1039+K1040+K1041+K1042+K1043+K1044+K1045+K1046+K1047+K1048+K1049+K1050)</f>
        <v>0</v>
      </c>
      <c r="L1038" s="1146">
        <f>SUM(L1039+L1040+L1041+L1042+L1043+L1044+L1045+L1046+L1047+L1048+L1049+L1050)</f>
        <v>0</v>
      </c>
      <c r="M1038" s="1146">
        <f>SUM(M1039+M1040+M1041+M1042+M1043+M1044+M1045+M1046+M1047+M1048+M1049+M1050)</f>
        <v>783369</v>
      </c>
      <c r="N1038" s="963"/>
      <c r="O1038" s="961"/>
      <c r="P1038" s="951"/>
      <c r="Q1038" s="800"/>
      <c r="S1038" s="682"/>
    </row>
    <row r="1039" spans="1:27">
      <c r="A1039" s="1011"/>
      <c r="B1039" s="1128"/>
      <c r="C1039" s="1129"/>
      <c r="D1039" s="1129"/>
      <c r="E1039" s="1129"/>
      <c r="F1039" s="1129"/>
      <c r="G1039" s="1129"/>
      <c r="H1039" s="1130"/>
      <c r="I1039" s="1147">
        <v>602.1001</v>
      </c>
      <c r="J1039" s="699" t="s">
        <v>337</v>
      </c>
      <c r="K1039" s="1132"/>
      <c r="L1039" s="1133"/>
      <c r="M1039" s="1133"/>
      <c r="N1039" s="963"/>
      <c r="O1039" s="961"/>
      <c r="P1039" s="951"/>
      <c r="Q1039" s="801"/>
    </row>
    <row r="1040" spans="1:27">
      <c r="A1040" s="1011"/>
      <c r="B1040" s="1134"/>
      <c r="C1040" s="1135"/>
      <c r="D1040" s="1135"/>
      <c r="E1040" s="1135"/>
      <c r="F1040" s="1135"/>
      <c r="G1040" s="1135"/>
      <c r="H1040" s="1136"/>
      <c r="I1040" s="1148">
        <v>602.10019999999997</v>
      </c>
      <c r="J1040" s="700" t="s">
        <v>338</v>
      </c>
      <c r="K1040" s="1137"/>
      <c r="L1040" s="1138"/>
      <c r="M1040" s="1138"/>
      <c r="N1040" s="962"/>
      <c r="O1040" s="961">
        <v>4703936</v>
      </c>
      <c r="P1040" s="951"/>
      <c r="Q1040" s="800"/>
    </row>
    <row r="1041" spans="1:19">
      <c r="A1041" s="1011"/>
      <c r="B1041" s="1134"/>
      <c r="C1041" s="1135"/>
      <c r="D1041" s="1135"/>
      <c r="E1041" s="1135"/>
      <c r="F1041" s="1135"/>
      <c r="G1041" s="1135"/>
      <c r="H1041" s="1136"/>
      <c r="I1041" s="1148">
        <v>602.10029999999995</v>
      </c>
      <c r="J1041" s="700" t="s">
        <v>339</v>
      </c>
      <c r="K1041" s="1137"/>
      <c r="L1041" s="1138"/>
      <c r="M1041" s="1138"/>
      <c r="N1041" s="962"/>
      <c r="O1041" s="961"/>
      <c r="P1041" s="951"/>
      <c r="Q1041" s="800"/>
    </row>
    <row r="1042" spans="1:19">
      <c r="A1042" s="1011"/>
      <c r="B1042" s="1134"/>
      <c r="C1042" s="1135"/>
      <c r="D1042" s="1135"/>
      <c r="E1042" s="1135"/>
      <c r="F1042" s="1135"/>
      <c r="G1042" s="1135"/>
      <c r="H1042" s="1136"/>
      <c r="I1042" s="1148">
        <v>602.10040000000004</v>
      </c>
      <c r="J1042" s="700" t="s">
        <v>340</v>
      </c>
      <c r="K1042" s="1137"/>
      <c r="L1042" s="1138"/>
      <c r="M1042" s="1138"/>
      <c r="N1042" s="962"/>
      <c r="O1042" s="961"/>
      <c r="P1042" s="961"/>
      <c r="Q1042" s="800"/>
    </row>
    <row r="1043" spans="1:19">
      <c r="A1043" s="1011"/>
      <c r="B1043" s="1134"/>
      <c r="C1043" s="1135"/>
      <c r="D1043" s="1135"/>
      <c r="E1043" s="1135"/>
      <c r="F1043" s="1135"/>
      <c r="G1043" s="1135"/>
      <c r="H1043" s="1136"/>
      <c r="I1043" s="1148">
        <v>602.10050000000001</v>
      </c>
      <c r="J1043" s="700" t="s">
        <v>341</v>
      </c>
      <c r="K1043" s="1137"/>
      <c r="L1043" s="1138"/>
      <c r="M1043" s="1138"/>
      <c r="N1043" s="962"/>
      <c r="O1043" s="961"/>
      <c r="P1043" s="961"/>
      <c r="Q1043" s="800"/>
    </row>
    <row r="1044" spans="1:19">
      <c r="A1044" s="1011"/>
      <c r="B1044" s="1134"/>
      <c r="C1044" s="1135"/>
      <c r="D1044" s="1135"/>
      <c r="E1044" s="1135"/>
      <c r="F1044" s="1135"/>
      <c r="G1044" s="1135"/>
      <c r="H1044" s="1136"/>
      <c r="I1044" s="1148">
        <v>602.10059999999999</v>
      </c>
      <c r="J1044" s="700" t="s">
        <v>342</v>
      </c>
      <c r="K1044" s="1137"/>
      <c r="L1044" s="1138"/>
      <c r="M1044" s="1138"/>
      <c r="N1044" s="962"/>
      <c r="O1044" s="961"/>
      <c r="P1044" s="961"/>
      <c r="Q1044" s="800"/>
    </row>
    <row r="1045" spans="1:19">
      <c r="A1045" s="1011"/>
      <c r="B1045" s="1134"/>
      <c r="C1045" s="1135"/>
      <c r="D1045" s="1135"/>
      <c r="E1045" s="1135"/>
      <c r="F1045" s="1135"/>
      <c r="G1045" s="1135"/>
      <c r="H1045" s="1136"/>
      <c r="I1045" s="1148">
        <v>602.10069999999996</v>
      </c>
      <c r="J1045" s="700" t="s">
        <v>469</v>
      </c>
      <c r="K1045" s="1137"/>
      <c r="L1045" s="1138"/>
      <c r="M1045" s="1138">
        <v>395000</v>
      </c>
      <c r="N1045" s="962"/>
      <c r="O1045" s="961"/>
      <c r="P1045" s="961"/>
      <c r="Q1045" s="800"/>
    </row>
    <row r="1046" spans="1:19">
      <c r="A1046" s="1011"/>
      <c r="B1046" s="1134"/>
      <c r="C1046" s="1135"/>
      <c r="D1046" s="1135"/>
      <c r="E1046" s="1135"/>
      <c r="F1046" s="1135"/>
      <c r="G1046" s="1135"/>
      <c r="H1046" s="1136"/>
      <c r="I1046" s="1148">
        <v>602.10080000000005</v>
      </c>
      <c r="J1046" s="700" t="s">
        <v>343</v>
      </c>
      <c r="K1046" s="1137"/>
      <c r="L1046" s="1138"/>
      <c r="M1046" s="1138"/>
      <c r="N1046" s="962"/>
      <c r="O1046" s="964">
        <f>O1040-M1027</f>
        <v>-523591</v>
      </c>
      <c r="P1046" s="964"/>
      <c r="Q1046" s="800"/>
    </row>
    <row r="1047" spans="1:19">
      <c r="A1047" s="1011"/>
      <c r="B1047" s="1134"/>
      <c r="C1047" s="1135"/>
      <c r="D1047" s="1135"/>
      <c r="E1047" s="1135"/>
      <c r="F1047" s="1135"/>
      <c r="G1047" s="1135"/>
      <c r="H1047" s="1136"/>
      <c r="I1047" s="1148">
        <v>602.10090000000002</v>
      </c>
      <c r="J1047" s="700" t="s">
        <v>344</v>
      </c>
      <c r="K1047" s="1149"/>
      <c r="L1047" s="1150"/>
      <c r="M1047" s="1150"/>
      <c r="N1047" s="962"/>
      <c r="O1047" s="964">
        <f>O1046-N1029</f>
        <v>-576890.5</v>
      </c>
      <c r="P1047" s="961"/>
      <c r="Q1047" s="800"/>
    </row>
    <row r="1048" spans="1:19">
      <c r="A1048" s="1011"/>
      <c r="B1048" s="1134"/>
      <c r="C1048" s="1135"/>
      <c r="D1048" s="1135"/>
      <c r="E1048" s="1135"/>
      <c r="F1048" s="1135"/>
      <c r="G1048" s="1135"/>
      <c r="H1048" s="1136"/>
      <c r="I1048" s="1148">
        <v>602.101</v>
      </c>
      <c r="J1048" s="700" t="s">
        <v>345</v>
      </c>
      <c r="K1048" s="1149"/>
      <c r="L1048" s="1150"/>
      <c r="M1048" s="1150"/>
      <c r="N1048" s="965"/>
      <c r="O1048" s="961"/>
      <c r="P1048" s="961"/>
      <c r="Q1048" s="802"/>
    </row>
    <row r="1049" spans="1:19">
      <c r="A1049" s="1011"/>
      <c r="B1049" s="1134"/>
      <c r="C1049" s="1135"/>
      <c r="D1049" s="1135"/>
      <c r="E1049" s="1135"/>
      <c r="F1049" s="1135"/>
      <c r="G1049" s="1135"/>
      <c r="H1049" s="1136"/>
      <c r="I1049" s="1081">
        <v>602.10109999999997</v>
      </c>
      <c r="J1049" s="700" t="s">
        <v>490</v>
      </c>
      <c r="K1049" s="1149"/>
      <c r="L1049" s="1150"/>
      <c r="M1049" s="1150">
        <v>244776</v>
      </c>
      <c r="N1049" s="965"/>
      <c r="O1049" s="961"/>
      <c r="P1049" s="961"/>
      <c r="Q1049" s="802"/>
    </row>
    <row r="1050" spans="1:19" ht="13.5" thickBot="1">
      <c r="A1050" s="1011"/>
      <c r="B1050" s="1151"/>
      <c r="C1050" s="1152"/>
      <c r="D1050" s="1152"/>
      <c r="E1050" s="1152"/>
      <c r="F1050" s="1152"/>
      <c r="G1050" s="1152"/>
      <c r="H1050" s="1153"/>
      <c r="I1050" s="1154">
        <v>602.10990000000004</v>
      </c>
      <c r="J1050" s="701" t="s">
        <v>468</v>
      </c>
      <c r="K1050" s="1155"/>
      <c r="L1050" s="1156"/>
      <c r="M1050" s="1156">
        <v>143593</v>
      </c>
      <c r="N1050" s="965"/>
      <c r="O1050" s="964"/>
      <c r="P1050" s="961"/>
      <c r="Q1050" s="802"/>
    </row>
    <row r="1051" spans="1:19" ht="13.5" thickBot="1">
      <c r="A1051" s="1011"/>
      <c r="B1051" s="1114"/>
      <c r="C1051" s="1115"/>
      <c r="D1051" s="1115"/>
      <c r="E1051" s="1115"/>
      <c r="F1051" s="1115"/>
      <c r="G1051" s="1115"/>
      <c r="H1051" s="1116"/>
      <c r="I1051" s="1117">
        <v>602.20000000000005</v>
      </c>
      <c r="J1051" s="1118" t="s">
        <v>348</v>
      </c>
      <c r="K1051" s="1145">
        <f>SUM(K1052+K1053+K1054+K1055+K1056+K1057+K1058+K1059+K1060+K1061+K1062+K1063+K1064+K1065)</f>
        <v>0</v>
      </c>
      <c r="L1051" s="1157">
        <f>SUM(L1052+L1053+L1054+L1057+L1058+L1059+L1060+L1061+L1062+L1063+L1064+L1065)</f>
        <v>0</v>
      </c>
      <c r="M1051" s="1157">
        <f>SUM(M1052+M1053+M1054+M1057+M1058+M1059+M1060+M1061+M1062+M1063+M1064+M1065)</f>
        <v>2754810</v>
      </c>
      <c r="N1051" s="966"/>
      <c r="O1051" s="961"/>
      <c r="P1051" s="961"/>
      <c r="Q1051" s="802"/>
      <c r="S1051" s="682"/>
    </row>
    <row r="1052" spans="1:19">
      <c r="A1052" s="1011"/>
      <c r="B1052" s="1128"/>
      <c r="C1052" s="1129"/>
      <c r="D1052" s="1129"/>
      <c r="E1052" s="1129"/>
      <c r="F1052" s="1129"/>
      <c r="G1052" s="1129"/>
      <c r="H1052" s="1130"/>
      <c r="I1052" s="1131">
        <v>602.20010000000002</v>
      </c>
      <c r="J1052" s="699" t="s">
        <v>192</v>
      </c>
      <c r="K1052" s="1158"/>
      <c r="L1052" s="1159"/>
      <c r="M1052" s="1159">
        <f>839908-7680</f>
        <v>832228</v>
      </c>
      <c r="N1052" s="958"/>
      <c r="O1052" s="964"/>
      <c r="P1052" s="964"/>
      <c r="Q1052" s="799"/>
    </row>
    <row r="1053" spans="1:19">
      <c r="A1053" s="1011"/>
      <c r="B1053" s="1134"/>
      <c r="C1053" s="1135"/>
      <c r="D1053" s="1135"/>
      <c r="E1053" s="1135"/>
      <c r="F1053" s="1135"/>
      <c r="G1053" s="1135"/>
      <c r="H1053" s="1136"/>
      <c r="I1053" s="1081">
        <v>602.2002</v>
      </c>
      <c r="J1053" s="700" t="s">
        <v>349</v>
      </c>
      <c r="K1053" s="1149"/>
      <c r="L1053" s="1150">
        <v>0</v>
      </c>
      <c r="M1053" s="1150">
        <v>0</v>
      </c>
      <c r="N1053" s="954"/>
      <c r="O1053" s="961"/>
      <c r="P1053" s="961"/>
      <c r="Q1053" s="803"/>
    </row>
    <row r="1054" spans="1:19">
      <c r="A1054" s="1011"/>
      <c r="B1054" s="1134"/>
      <c r="C1054" s="1135"/>
      <c r="D1054" s="1135"/>
      <c r="E1054" s="1135"/>
      <c r="F1054" s="1135"/>
      <c r="G1054" s="1135"/>
      <c r="H1054" s="1136"/>
      <c r="I1054" s="1081">
        <v>602.20029999999997</v>
      </c>
      <c r="J1054" s="700" t="s">
        <v>350</v>
      </c>
      <c r="K1054" s="1149"/>
      <c r="L1054" s="1160">
        <f>L1055+L1056</f>
        <v>0</v>
      </c>
      <c r="M1054" s="1160">
        <f>M1055+M1056</f>
        <v>497713</v>
      </c>
      <c r="N1054" s="967"/>
      <c r="O1054" s="961"/>
      <c r="P1054" s="961"/>
      <c r="Q1054" s="802"/>
      <c r="S1054" s="682"/>
    </row>
    <row r="1055" spans="1:19">
      <c r="A1055" s="1011"/>
      <c r="B1055" s="1134"/>
      <c r="C1055" s="1135"/>
      <c r="D1055" s="1135"/>
      <c r="E1055" s="1135"/>
      <c r="F1055" s="1135"/>
      <c r="G1055" s="1135"/>
      <c r="H1055" s="1136"/>
      <c r="I1055" s="1081"/>
      <c r="J1055" s="1161" t="s">
        <v>473</v>
      </c>
      <c r="K1055" s="1149"/>
      <c r="L1055" s="1162"/>
      <c r="M1055" s="1163">
        <v>377713</v>
      </c>
      <c r="N1055" s="967"/>
      <c r="O1055" s="964"/>
      <c r="P1055" s="961"/>
      <c r="Q1055" s="804"/>
    </row>
    <row r="1056" spans="1:19">
      <c r="A1056" s="1011"/>
      <c r="B1056" s="1134"/>
      <c r="C1056" s="1135"/>
      <c r="D1056" s="1135"/>
      <c r="E1056" s="1135"/>
      <c r="F1056" s="1135"/>
      <c r="G1056" s="1135"/>
      <c r="H1056" s="1136"/>
      <c r="I1056" s="1081"/>
      <c r="J1056" s="1164" t="s">
        <v>474</v>
      </c>
      <c r="K1056" s="1149"/>
      <c r="L1056" s="1150"/>
      <c r="M1056" s="1165">
        <v>120000</v>
      </c>
      <c r="N1056" s="968"/>
      <c r="O1056" s="961"/>
      <c r="P1056" s="968"/>
      <c r="Q1056" s="750"/>
    </row>
    <row r="1057" spans="1:20">
      <c r="A1057" s="1011"/>
      <c r="B1057" s="1134"/>
      <c r="C1057" s="1135"/>
      <c r="D1057" s="1135"/>
      <c r="E1057" s="1135"/>
      <c r="F1057" s="1135"/>
      <c r="G1057" s="1135"/>
      <c r="H1057" s="1136"/>
      <c r="I1057" s="1081">
        <v>602.20039999999995</v>
      </c>
      <c r="J1057" s="700" t="s">
        <v>351</v>
      </c>
      <c r="K1057" s="1149"/>
      <c r="L1057" s="1166"/>
      <c r="M1057" s="1166">
        <v>289260</v>
      </c>
      <c r="N1057" s="969"/>
      <c r="O1057" s="964"/>
      <c r="P1057" s="969"/>
      <c r="Q1057" s="751"/>
      <c r="S1057" s="682"/>
    </row>
    <row r="1058" spans="1:20">
      <c r="A1058" s="1011"/>
      <c r="B1058" s="1134"/>
      <c r="C1058" s="1135"/>
      <c r="D1058" s="1135"/>
      <c r="E1058" s="1135"/>
      <c r="F1058" s="1135"/>
      <c r="G1058" s="1135"/>
      <c r="H1058" s="1136"/>
      <c r="I1058" s="1081">
        <v>602.20050000000003</v>
      </c>
      <c r="J1058" s="700" t="s">
        <v>352</v>
      </c>
      <c r="K1058" s="1149"/>
      <c r="L1058" s="1150"/>
      <c r="M1058" s="1150"/>
      <c r="N1058" s="952"/>
      <c r="O1058" s="961"/>
      <c r="P1058" s="961"/>
      <c r="Q1058" s="703"/>
    </row>
    <row r="1059" spans="1:20">
      <c r="A1059" s="1011"/>
      <c r="B1059" s="1134"/>
      <c r="C1059" s="1135"/>
      <c r="D1059" s="1135"/>
      <c r="E1059" s="1135"/>
      <c r="F1059" s="1135"/>
      <c r="G1059" s="1135"/>
      <c r="H1059" s="1136"/>
      <c r="I1059" s="1081">
        <v>602.20060000000001</v>
      </c>
      <c r="J1059" s="700" t="s">
        <v>353</v>
      </c>
      <c r="K1059" s="1149"/>
      <c r="L1059" s="1150"/>
      <c r="M1059" s="1150"/>
      <c r="N1059" s="965"/>
      <c r="O1059" s="970"/>
      <c r="P1059" s="971"/>
      <c r="Q1059" s="802"/>
      <c r="S1059" s="512"/>
      <c r="T1059" s="512"/>
    </row>
    <row r="1060" spans="1:20">
      <c r="A1060" s="1011"/>
      <c r="B1060" s="1134"/>
      <c r="C1060" s="1135"/>
      <c r="D1060" s="1135"/>
      <c r="E1060" s="1135"/>
      <c r="F1060" s="1135"/>
      <c r="G1060" s="1135"/>
      <c r="H1060" s="1136"/>
      <c r="I1060" s="1081">
        <v>602.20069999999998</v>
      </c>
      <c r="J1060" s="700" t="s">
        <v>354</v>
      </c>
      <c r="K1060" s="1149"/>
      <c r="L1060" s="1167"/>
      <c r="M1060" s="1167">
        <v>250</v>
      </c>
      <c r="N1060" s="965"/>
      <c r="O1060" s="971"/>
      <c r="P1060" s="971"/>
      <c r="Q1060" s="802"/>
    </row>
    <row r="1061" spans="1:20">
      <c r="A1061" s="1011"/>
      <c r="B1061" s="1134"/>
      <c r="C1061" s="1135"/>
      <c r="D1061" s="1135"/>
      <c r="E1061" s="1135"/>
      <c r="F1061" s="1135"/>
      <c r="G1061" s="1135"/>
      <c r="H1061" s="1136"/>
      <c r="I1061" s="1081">
        <v>602.20079999999996</v>
      </c>
      <c r="J1061" s="700" t="s">
        <v>355</v>
      </c>
      <c r="K1061" s="1149"/>
      <c r="L1061" s="1150"/>
      <c r="M1061" s="1150">
        <v>857544</v>
      </c>
      <c r="N1061" s="965"/>
      <c r="O1061" s="964"/>
      <c r="P1061" s="971"/>
      <c r="Q1061" s="802"/>
      <c r="S1061" s="682"/>
    </row>
    <row r="1062" spans="1:20">
      <c r="A1062" s="1011"/>
      <c r="B1062" s="1134"/>
      <c r="C1062" s="1135"/>
      <c r="D1062" s="1135"/>
      <c r="E1062" s="1135"/>
      <c r="F1062" s="1135"/>
      <c r="G1062" s="1135"/>
      <c r="H1062" s="1136"/>
      <c r="I1062" s="1081">
        <v>602.20090000000005</v>
      </c>
      <c r="J1062" s="700" t="s">
        <v>356</v>
      </c>
      <c r="K1062" s="1149"/>
      <c r="L1062" s="1150"/>
      <c r="M1062" s="1150"/>
      <c r="N1062" s="965"/>
      <c r="O1062" s="971"/>
      <c r="P1062" s="971"/>
      <c r="Q1062" s="802"/>
    </row>
    <row r="1063" spans="1:20">
      <c r="A1063" s="1011"/>
      <c r="B1063" s="1134"/>
      <c r="C1063" s="1135"/>
      <c r="D1063" s="1135"/>
      <c r="E1063" s="1135"/>
      <c r="F1063" s="1135"/>
      <c r="G1063" s="1135"/>
      <c r="H1063" s="1136"/>
      <c r="I1063" s="1081">
        <v>602.20100000000002</v>
      </c>
      <c r="J1063" s="700" t="s">
        <v>357</v>
      </c>
      <c r="K1063" s="1149"/>
      <c r="L1063" s="1150"/>
      <c r="M1063" s="1150">
        <v>33747</v>
      </c>
      <c r="N1063" s="965"/>
      <c r="O1063" s="971"/>
      <c r="P1063" s="971"/>
      <c r="Q1063" s="802"/>
    </row>
    <row r="1064" spans="1:20">
      <c r="A1064" s="1011"/>
      <c r="B1064" s="1134"/>
      <c r="C1064" s="1135"/>
      <c r="D1064" s="1135"/>
      <c r="E1064" s="1135"/>
      <c r="F1064" s="1135"/>
      <c r="G1064" s="1135"/>
      <c r="H1064" s="1136"/>
      <c r="I1064" s="1081">
        <v>602.20110000000102</v>
      </c>
      <c r="J1064" s="700" t="s">
        <v>204</v>
      </c>
      <c r="K1064" s="1149"/>
      <c r="L1064" s="1150"/>
      <c r="M1064" s="1150">
        <v>68400</v>
      </c>
      <c r="N1064" s="965"/>
      <c r="O1064" s="971"/>
      <c r="P1064" s="971"/>
      <c r="Q1064" s="802"/>
    </row>
    <row r="1065" spans="1:20" ht="13.5" thickBot="1">
      <c r="A1065" s="1011"/>
      <c r="B1065" s="1139"/>
      <c r="C1065" s="1140"/>
      <c r="D1065" s="1140"/>
      <c r="E1065" s="1140"/>
      <c r="F1065" s="1140"/>
      <c r="G1065" s="1140"/>
      <c r="H1065" s="1141"/>
      <c r="I1065" s="1095">
        <v>602.20989999999995</v>
      </c>
      <c r="J1065" s="1142" t="s">
        <v>531</v>
      </c>
      <c r="K1065" s="1168"/>
      <c r="L1065" s="1156"/>
      <c r="M1065" s="1156">
        <v>175668</v>
      </c>
      <c r="N1065" s="965"/>
      <c r="O1065" s="971"/>
      <c r="P1065" s="971"/>
      <c r="Q1065" s="802"/>
    </row>
    <row r="1066" spans="1:20" ht="13.5" thickBot="1">
      <c r="A1066" s="1011"/>
      <c r="B1066" s="1114"/>
      <c r="C1066" s="1115"/>
      <c r="D1066" s="1115"/>
      <c r="E1066" s="1115"/>
      <c r="F1066" s="1115"/>
      <c r="G1066" s="1115"/>
      <c r="H1066" s="1116"/>
      <c r="I1066" s="1117">
        <v>6023</v>
      </c>
      <c r="J1066" s="1118" t="s">
        <v>206</v>
      </c>
      <c r="K1066" s="1145">
        <f>SUM(K1067+K1068+K1069+K1070)</f>
        <v>0</v>
      </c>
      <c r="L1066" s="1120">
        <f>SUM(L1067+L1068+L1069+L1070)</f>
        <v>0</v>
      </c>
      <c r="M1066" s="1120">
        <f>SUM(M1067:M1070)</f>
        <v>1382570</v>
      </c>
      <c r="N1066" s="958"/>
      <c r="O1066" s="971"/>
      <c r="P1066" s="971"/>
      <c r="Q1066" s="802"/>
      <c r="S1066" s="682"/>
    </row>
    <row r="1067" spans="1:20">
      <c r="A1067" s="1011"/>
      <c r="B1067" s="1128"/>
      <c r="C1067" s="1129"/>
      <c r="D1067" s="1129"/>
      <c r="E1067" s="1129"/>
      <c r="F1067" s="1129"/>
      <c r="G1067" s="1129"/>
      <c r="H1067" s="1130"/>
      <c r="I1067" s="1131">
        <v>602.30999999999995</v>
      </c>
      <c r="J1067" s="699" t="s">
        <v>207</v>
      </c>
      <c r="K1067" s="1158"/>
      <c r="L1067" s="1169"/>
      <c r="M1067" s="1169">
        <v>966930</v>
      </c>
      <c r="N1067" s="958"/>
      <c r="O1067" s="971"/>
      <c r="P1067" s="971"/>
      <c r="Q1067" s="799"/>
    </row>
    <row r="1068" spans="1:20">
      <c r="A1068" s="1011"/>
      <c r="B1068" s="1134"/>
      <c r="C1068" s="1135"/>
      <c r="D1068" s="1135"/>
      <c r="E1068" s="1135"/>
      <c r="F1068" s="1135"/>
      <c r="G1068" s="1135"/>
      <c r="H1068" s="1136"/>
      <c r="I1068" s="1081">
        <v>602.32000000000005</v>
      </c>
      <c r="J1068" s="700" t="s">
        <v>359</v>
      </c>
      <c r="K1068" s="1149"/>
      <c r="L1068" s="1150"/>
      <c r="M1068" s="1150">
        <v>403640</v>
      </c>
      <c r="N1068" s="967"/>
      <c r="O1068" s="971"/>
      <c r="P1068" s="971"/>
      <c r="Q1068" s="802"/>
      <c r="S1068" s="682"/>
    </row>
    <row r="1069" spans="1:20">
      <c r="A1069" s="1011"/>
      <c r="B1069" s="1134"/>
      <c r="C1069" s="1135"/>
      <c r="D1069" s="1135"/>
      <c r="E1069" s="1135"/>
      <c r="F1069" s="1135"/>
      <c r="G1069" s="1135"/>
      <c r="H1069" s="1136"/>
      <c r="I1069" s="1081">
        <v>602.33000000000004</v>
      </c>
      <c r="J1069" s="700" t="s">
        <v>360</v>
      </c>
      <c r="K1069" s="1149"/>
      <c r="L1069" s="1150"/>
      <c r="M1069" s="1150">
        <v>12000</v>
      </c>
      <c r="N1069" s="965"/>
      <c r="O1069" s="971"/>
      <c r="P1069" s="961"/>
      <c r="Q1069" s="802"/>
    </row>
    <row r="1070" spans="1:20" ht="13.5" thickBot="1">
      <c r="A1070" s="1011"/>
      <c r="B1070" s="1139"/>
      <c r="C1070" s="1140"/>
      <c r="D1070" s="1140"/>
      <c r="E1070" s="1140"/>
      <c r="F1070" s="1140"/>
      <c r="G1070" s="1140"/>
      <c r="H1070" s="1141"/>
      <c r="I1070" s="1095">
        <v>602.39</v>
      </c>
      <c r="J1070" s="1142" t="s">
        <v>361</v>
      </c>
      <c r="K1070" s="1168"/>
      <c r="L1070" s="1170"/>
      <c r="M1070" s="1170"/>
      <c r="N1070" s="965"/>
      <c r="O1070" s="961"/>
      <c r="P1070" s="961"/>
      <c r="Q1070" s="802"/>
    </row>
    <row r="1071" spans="1:20" ht="13.5" thickBot="1">
      <c r="A1071" s="1011"/>
      <c r="B1071" s="1114"/>
      <c r="C1071" s="1115"/>
      <c r="D1071" s="1115"/>
      <c r="E1071" s="1115"/>
      <c r="F1071" s="1115"/>
      <c r="G1071" s="1115"/>
      <c r="H1071" s="1116"/>
      <c r="I1071" s="1117">
        <v>602.4</v>
      </c>
      <c r="J1071" s="1118" t="s">
        <v>362</v>
      </c>
      <c r="K1071" s="1145">
        <f>SUM(K1072+K1073)</f>
        <v>0</v>
      </c>
      <c r="L1071" s="1120">
        <f>SUM(L1072+L1073)</f>
        <v>0</v>
      </c>
      <c r="M1071" s="1120">
        <f>SUM(M1072:M1073)</f>
        <v>2935070</v>
      </c>
      <c r="N1071" s="958"/>
      <c r="O1071" s="971"/>
      <c r="P1071" s="961"/>
      <c r="Q1071" s="802"/>
    </row>
    <row r="1072" spans="1:20">
      <c r="A1072" s="1011"/>
      <c r="B1072" s="1128"/>
      <c r="C1072" s="1129"/>
      <c r="D1072" s="1129"/>
      <c r="E1072" s="1129"/>
      <c r="F1072" s="1129"/>
      <c r="G1072" s="1129"/>
      <c r="H1072" s="1130"/>
      <c r="I1072" s="1131">
        <v>602.4</v>
      </c>
      <c r="J1072" s="699" t="s">
        <v>363</v>
      </c>
      <c r="K1072" s="1158"/>
      <c r="L1072" s="1171"/>
      <c r="M1072" s="1171">
        <f>2517770+417300</f>
        <v>2935070</v>
      </c>
      <c r="N1072" s="958"/>
      <c r="O1072" s="964"/>
      <c r="P1072" s="961"/>
      <c r="Q1072" s="799"/>
      <c r="S1072" s="682"/>
    </row>
    <row r="1073" spans="1:17" ht="13.5" thickBot="1">
      <c r="A1073" s="1011"/>
      <c r="B1073" s="1139"/>
      <c r="C1073" s="1140"/>
      <c r="D1073" s="1140"/>
      <c r="E1073" s="1140"/>
      <c r="F1073" s="1140"/>
      <c r="G1073" s="1140"/>
      <c r="H1073" s="1141"/>
      <c r="I1073" s="1095">
        <v>602.41</v>
      </c>
      <c r="J1073" s="1142" t="s">
        <v>364</v>
      </c>
      <c r="K1073" s="1168"/>
      <c r="L1073" s="1156"/>
      <c r="M1073" s="1156"/>
      <c r="N1073" s="972"/>
      <c r="O1073" s="961"/>
      <c r="P1073" s="961"/>
      <c r="Q1073" s="805"/>
    </row>
    <row r="1074" spans="1:17" ht="13.5" thickBot="1">
      <c r="A1074" s="1011"/>
      <c r="B1074" s="1114"/>
      <c r="C1074" s="1115"/>
      <c r="D1074" s="1115"/>
      <c r="E1074" s="1115"/>
      <c r="F1074" s="1115"/>
      <c r="G1074" s="1115"/>
      <c r="H1074" s="1116"/>
      <c r="I1074" s="1117">
        <v>602.5</v>
      </c>
      <c r="J1074" s="1118" t="s">
        <v>365</v>
      </c>
      <c r="K1074" s="1145">
        <f>SUM(K1075+K1076+K1077+K1078+K1079+K1080+K1081+K1082)</f>
        <v>0</v>
      </c>
      <c r="L1074" s="1146">
        <f>SUM(L1075+L1076+L1077+L1078+L1079+L1080+L1081+L1082)</f>
        <v>0</v>
      </c>
      <c r="M1074" s="1146">
        <f>SUM(M1075:M1082)</f>
        <v>729040</v>
      </c>
      <c r="N1074" s="973"/>
      <c r="O1074" s="952"/>
      <c r="P1074" s="974"/>
      <c r="Q1074" s="802"/>
    </row>
    <row r="1075" spans="1:17">
      <c r="A1075" s="1011"/>
      <c r="B1075" s="1128"/>
      <c r="C1075" s="1129"/>
      <c r="D1075" s="1129"/>
      <c r="E1075" s="1129"/>
      <c r="F1075" s="1129"/>
      <c r="G1075" s="1129"/>
      <c r="H1075" s="1130"/>
      <c r="I1075" s="1131">
        <v>602.5</v>
      </c>
      <c r="J1075" s="699" t="s">
        <v>366</v>
      </c>
      <c r="K1075" s="1172"/>
      <c r="L1075" s="1173"/>
      <c r="M1075" s="1173"/>
      <c r="N1075" s="963"/>
      <c r="O1075" s="961"/>
      <c r="P1075" s="961"/>
      <c r="Q1075" s="801"/>
    </row>
    <row r="1076" spans="1:17">
      <c r="A1076" s="1011"/>
      <c r="B1076" s="1134"/>
      <c r="C1076" s="1135"/>
      <c r="D1076" s="1135"/>
      <c r="E1076" s="1135"/>
      <c r="F1076" s="1135"/>
      <c r="G1076" s="1135"/>
      <c r="H1076" s="1136"/>
      <c r="I1076" s="1081">
        <v>602.51</v>
      </c>
      <c r="J1076" s="700" t="s">
        <v>367</v>
      </c>
      <c r="K1076" s="1174"/>
      <c r="L1076" s="1175"/>
      <c r="M1076" s="1175"/>
      <c r="N1076" s="963"/>
      <c r="O1076" s="961"/>
      <c r="P1076" s="961"/>
      <c r="Q1076" s="801"/>
    </row>
    <row r="1077" spans="1:17">
      <c r="A1077" s="1011"/>
      <c r="B1077" s="1134"/>
      <c r="C1077" s="1135"/>
      <c r="D1077" s="1135"/>
      <c r="E1077" s="1135"/>
      <c r="F1077" s="1135"/>
      <c r="G1077" s="1135"/>
      <c r="H1077" s="1136"/>
      <c r="I1077" s="1081">
        <v>602.52</v>
      </c>
      <c r="J1077" s="700" t="s">
        <v>532</v>
      </c>
      <c r="K1077" s="1174"/>
      <c r="L1077" s="1175"/>
      <c r="M1077" s="1175">
        <f>466888+105100-175668</f>
        <v>396320</v>
      </c>
      <c r="N1077" s="963"/>
      <c r="O1077" s="961"/>
      <c r="P1077" s="961"/>
      <c r="Q1077" s="801"/>
    </row>
    <row r="1078" spans="1:17" ht="13.5" thickBot="1">
      <c r="A1078" s="1011"/>
      <c r="B1078" s="1151"/>
      <c r="C1078" s="1152"/>
      <c r="D1078" s="1152"/>
      <c r="E1078" s="1152"/>
      <c r="F1078" s="1152"/>
      <c r="G1078" s="1152"/>
      <c r="H1078" s="1153"/>
      <c r="I1078" s="1154">
        <v>602.53</v>
      </c>
      <c r="J1078" s="701" t="s">
        <v>369</v>
      </c>
      <c r="K1078" s="1176"/>
      <c r="L1078" s="1177"/>
      <c r="M1078" s="1177"/>
      <c r="N1078" s="963"/>
      <c r="O1078" s="961"/>
      <c r="P1078" s="961"/>
      <c r="Q1078" s="801"/>
    </row>
    <row r="1079" spans="1:17">
      <c r="A1079" s="1011"/>
      <c r="B1079" s="1121"/>
      <c r="C1079" s="1122"/>
      <c r="D1079" s="1122"/>
      <c r="E1079" s="1122"/>
      <c r="F1079" s="1122"/>
      <c r="G1079" s="1122"/>
      <c r="H1079" s="1123"/>
      <c r="I1079" s="1124">
        <v>602.54</v>
      </c>
      <c r="J1079" s="1125" t="s">
        <v>405</v>
      </c>
      <c r="K1079" s="1178"/>
      <c r="L1079" s="1127"/>
      <c r="M1079" s="1127"/>
      <c r="N1079" s="963"/>
      <c r="O1079" s="961"/>
      <c r="P1079" s="961"/>
      <c r="Q1079" s="801"/>
    </row>
    <row r="1080" spans="1:17">
      <c r="A1080" s="1011"/>
      <c r="B1080" s="1134"/>
      <c r="C1080" s="1135"/>
      <c r="D1080" s="1135"/>
      <c r="E1080" s="1135"/>
      <c r="F1080" s="1135"/>
      <c r="G1080" s="1135"/>
      <c r="H1080" s="1136"/>
      <c r="I1080" s="1081">
        <v>602.54999999999995</v>
      </c>
      <c r="J1080" s="700" t="s">
        <v>370</v>
      </c>
      <c r="K1080" s="1174"/>
      <c r="L1080" s="1179"/>
      <c r="M1080" s="1179"/>
      <c r="N1080" s="963"/>
      <c r="O1080" s="961"/>
      <c r="P1080" s="961"/>
      <c r="Q1080" s="800"/>
    </row>
    <row r="1081" spans="1:17">
      <c r="A1081" s="1011"/>
      <c r="B1081" s="1134"/>
      <c r="C1081" s="1135"/>
      <c r="D1081" s="1135"/>
      <c r="E1081" s="1135"/>
      <c r="F1081" s="1135"/>
      <c r="G1081" s="1135"/>
      <c r="H1081" s="1136"/>
      <c r="I1081" s="1081">
        <v>602.55999999999995</v>
      </c>
      <c r="J1081" s="700" t="s">
        <v>371</v>
      </c>
      <c r="K1081" s="1174"/>
      <c r="L1081" s="1175"/>
      <c r="M1081" s="1175"/>
      <c r="N1081" s="972"/>
      <c r="O1081" s="961"/>
      <c r="P1081" s="961"/>
      <c r="Q1081" s="805"/>
    </row>
    <row r="1082" spans="1:17" ht="13.5" thickBot="1">
      <c r="A1082" s="1011"/>
      <c r="B1082" s="1139"/>
      <c r="C1082" s="1140"/>
      <c r="D1082" s="1140"/>
      <c r="E1082" s="1140"/>
      <c r="F1082" s="1140"/>
      <c r="G1082" s="1140"/>
      <c r="H1082" s="1141"/>
      <c r="I1082" s="1095">
        <v>602.58000000000004</v>
      </c>
      <c r="J1082" s="1142" t="s">
        <v>533</v>
      </c>
      <c r="K1082" s="1180"/>
      <c r="L1082" s="1181"/>
      <c r="M1082" s="1181">
        <f>194950+137770</f>
        <v>332720</v>
      </c>
      <c r="N1082" s="963"/>
      <c r="O1082" s="961"/>
      <c r="P1082" s="961"/>
      <c r="Q1082" s="801"/>
    </row>
    <row r="1083" spans="1:17" ht="13.5" thickBot="1">
      <c r="A1083" s="1011"/>
      <c r="B1083" s="1114"/>
      <c r="C1083" s="1115"/>
      <c r="D1083" s="1115"/>
      <c r="E1083" s="1115"/>
      <c r="F1083" s="1115"/>
      <c r="G1083" s="1115"/>
      <c r="H1083" s="1116"/>
      <c r="I1083" s="1117">
        <v>602.6</v>
      </c>
      <c r="J1083" s="1118" t="s">
        <v>373</v>
      </c>
      <c r="K1083" s="1182">
        <f>SUM(K1084+K1085+K1086+K1087+K1088)</f>
        <v>0</v>
      </c>
      <c r="L1083" s="1183">
        <f>SUM(L1084+L1085+L1086+L1087+L1088)</f>
        <v>0</v>
      </c>
      <c r="M1083" s="1183">
        <f>SUM(M1084+M1085+M1086+M1087+M1088)</f>
        <v>30000</v>
      </c>
      <c r="N1083" s="967"/>
      <c r="O1083" s="961"/>
      <c r="P1083" s="961"/>
      <c r="Q1083" s="805"/>
    </row>
    <row r="1084" spans="1:17">
      <c r="A1084" s="1011"/>
      <c r="B1084" s="1128"/>
      <c r="C1084" s="1129"/>
      <c r="D1084" s="1129"/>
      <c r="E1084" s="1129"/>
      <c r="F1084" s="1129"/>
      <c r="G1084" s="1129"/>
      <c r="H1084" s="1130"/>
      <c r="I1084" s="1131">
        <v>602.61</v>
      </c>
      <c r="J1084" s="699" t="s">
        <v>374</v>
      </c>
      <c r="K1084" s="1172"/>
      <c r="L1084" s="1173"/>
      <c r="M1084" s="1173">
        <v>30000</v>
      </c>
      <c r="N1084" s="967"/>
      <c r="O1084" s="961"/>
      <c r="P1084" s="961"/>
      <c r="Q1084" s="804"/>
    </row>
    <row r="1085" spans="1:17">
      <c r="A1085" s="1011"/>
      <c r="B1085" s="1134"/>
      <c r="C1085" s="1135"/>
      <c r="D1085" s="1135"/>
      <c r="E1085" s="1135"/>
      <c r="F1085" s="1135"/>
      <c r="G1085" s="1135"/>
      <c r="H1085" s="1136"/>
      <c r="I1085" s="1081">
        <v>602.62</v>
      </c>
      <c r="J1085" s="700" t="s">
        <v>375</v>
      </c>
      <c r="K1085" s="1174"/>
      <c r="L1085" s="1175"/>
      <c r="M1085" s="1175"/>
      <c r="N1085" s="963"/>
      <c r="O1085" s="961"/>
      <c r="P1085" s="961"/>
      <c r="Q1085" s="801"/>
    </row>
    <row r="1086" spans="1:17">
      <c r="A1086" s="1011"/>
      <c r="B1086" s="1134"/>
      <c r="C1086" s="1135"/>
      <c r="D1086" s="1135"/>
      <c r="E1086" s="1135"/>
      <c r="F1086" s="1135"/>
      <c r="G1086" s="1135"/>
      <c r="H1086" s="1136"/>
      <c r="I1086" s="1081">
        <v>602.63</v>
      </c>
      <c r="J1086" s="700" t="s">
        <v>376</v>
      </c>
      <c r="K1086" s="1174"/>
      <c r="L1086" s="1175"/>
      <c r="M1086" s="1175"/>
      <c r="N1086" s="963"/>
      <c r="O1086" s="961"/>
      <c r="P1086" s="961"/>
      <c r="Q1086" s="801"/>
    </row>
    <row r="1087" spans="1:17">
      <c r="A1087" s="1011"/>
      <c r="B1087" s="1134"/>
      <c r="C1087" s="1135"/>
      <c r="D1087" s="1135"/>
      <c r="E1087" s="1135"/>
      <c r="F1087" s="1135"/>
      <c r="G1087" s="1135"/>
      <c r="H1087" s="1136"/>
      <c r="I1087" s="1081">
        <v>602.64</v>
      </c>
      <c r="J1087" s="700" t="s">
        <v>377</v>
      </c>
      <c r="K1087" s="1174"/>
      <c r="L1087" s="1175"/>
      <c r="M1087" s="1175"/>
      <c r="N1087" s="963"/>
      <c r="O1087" s="961"/>
      <c r="P1087" s="961"/>
      <c r="Q1087" s="801"/>
    </row>
    <row r="1088" spans="1:17" ht="13.5" thickBot="1">
      <c r="A1088" s="1011"/>
      <c r="B1088" s="1139"/>
      <c r="C1088" s="1140"/>
      <c r="D1088" s="1140"/>
      <c r="E1088" s="1140"/>
      <c r="F1088" s="1140"/>
      <c r="G1088" s="1140"/>
      <c r="H1088" s="1141"/>
      <c r="I1088" s="1095">
        <v>602.69000000000005</v>
      </c>
      <c r="J1088" s="1142" t="s">
        <v>378</v>
      </c>
      <c r="K1088" s="1180"/>
      <c r="L1088" s="1184"/>
      <c r="M1088" s="1184"/>
      <c r="N1088" s="963"/>
      <c r="O1088" s="961"/>
      <c r="P1088" s="961"/>
      <c r="Q1088" s="801"/>
    </row>
    <row r="1089" spans="1:17" ht="13.5" thickBot="1">
      <c r="A1089" s="1011"/>
      <c r="B1089" s="1114"/>
      <c r="C1089" s="1115"/>
      <c r="D1089" s="1115"/>
      <c r="E1089" s="1115"/>
      <c r="F1089" s="1115"/>
      <c r="G1089" s="1115"/>
      <c r="H1089" s="1116"/>
      <c r="I1089" s="1185">
        <v>602.70000000000005</v>
      </c>
      <c r="J1089" s="1118" t="s">
        <v>379</v>
      </c>
      <c r="K1089" s="1182">
        <f>SUM(K1090+K1091+K1092+K1093+K1094+K1095)</f>
        <v>0</v>
      </c>
      <c r="L1089" s="1183">
        <f>SUM(L1090+L1091+L1092+L1093+L1094+L1095)</f>
        <v>0</v>
      </c>
      <c r="M1089" s="1183">
        <f>SUM(M1090:M1095)</f>
        <v>8488416</v>
      </c>
      <c r="N1089" s="967"/>
      <c r="O1089" s="961"/>
      <c r="P1089" s="961"/>
      <c r="Q1089" s="801"/>
    </row>
    <row r="1090" spans="1:17">
      <c r="A1090" s="1011"/>
      <c r="B1090" s="1128"/>
      <c r="C1090" s="1129"/>
      <c r="D1090" s="1129"/>
      <c r="E1090" s="1129"/>
      <c r="F1090" s="1129"/>
      <c r="G1090" s="1129"/>
      <c r="H1090" s="1130"/>
      <c r="I1090" s="1131">
        <v>602.71</v>
      </c>
      <c r="J1090" s="699" t="s">
        <v>380</v>
      </c>
      <c r="K1090" s="1172"/>
      <c r="L1090" s="1173"/>
      <c r="M1090" s="1173"/>
      <c r="N1090" s="967"/>
      <c r="O1090" s="961"/>
      <c r="P1090" s="961"/>
      <c r="Q1090" s="804"/>
    </row>
    <row r="1091" spans="1:17">
      <c r="A1091" s="1011"/>
      <c r="B1091" s="1134"/>
      <c r="C1091" s="1135"/>
      <c r="D1091" s="1135"/>
      <c r="E1091" s="1135"/>
      <c r="F1091" s="1135"/>
      <c r="G1091" s="1135"/>
      <c r="H1091" s="1136"/>
      <c r="I1091" s="1081">
        <v>602.72</v>
      </c>
      <c r="J1091" s="700" t="s">
        <v>381</v>
      </c>
      <c r="K1091" s="1174"/>
      <c r="L1091" s="1175"/>
      <c r="M1091" s="1175"/>
      <c r="N1091" s="963"/>
      <c r="O1091" s="961"/>
      <c r="P1091" s="961"/>
      <c r="Q1091" s="801"/>
    </row>
    <row r="1092" spans="1:17">
      <c r="A1092" s="1011"/>
      <c r="B1092" s="1134"/>
      <c r="C1092" s="1135"/>
      <c r="D1092" s="1135"/>
      <c r="E1092" s="1135"/>
      <c r="F1092" s="1135"/>
      <c r="G1092" s="1135"/>
      <c r="H1092" s="1136"/>
      <c r="I1092" s="1081">
        <v>602.73</v>
      </c>
      <c r="J1092" s="700" t="s">
        <v>382</v>
      </c>
      <c r="K1092" s="1174"/>
      <c r="L1092" s="1175"/>
      <c r="M1092" s="1175"/>
      <c r="N1092" s="963"/>
      <c r="O1092" s="961"/>
      <c r="P1092" s="961"/>
      <c r="Q1092" s="801"/>
    </row>
    <row r="1093" spans="1:17">
      <c r="A1093" s="1011"/>
      <c r="B1093" s="1134"/>
      <c r="C1093" s="1135"/>
      <c r="D1093" s="1135"/>
      <c r="E1093" s="1135"/>
      <c r="F1093" s="1135"/>
      <c r="G1093" s="1135"/>
      <c r="H1093" s="1136"/>
      <c r="I1093" s="1081">
        <v>602.74</v>
      </c>
      <c r="J1093" s="700" t="s">
        <v>383</v>
      </c>
      <c r="K1093" s="1174"/>
      <c r="L1093" s="1138"/>
      <c r="M1093" s="1138">
        <f>2810000+159000</f>
        <v>2969000</v>
      </c>
      <c r="N1093" s="963"/>
      <c r="O1093" s="964"/>
      <c r="P1093" s="961"/>
      <c r="Q1093" s="801"/>
    </row>
    <row r="1094" spans="1:17">
      <c r="A1094" s="1011"/>
      <c r="B1094" s="1134"/>
      <c r="C1094" s="1135"/>
      <c r="D1094" s="1135"/>
      <c r="E1094" s="1135"/>
      <c r="F1094" s="1135"/>
      <c r="G1094" s="1135"/>
      <c r="H1094" s="1136"/>
      <c r="I1094" s="1081">
        <v>602.75</v>
      </c>
      <c r="J1094" s="700" t="s">
        <v>509</v>
      </c>
      <c r="K1094" s="1174"/>
      <c r="L1094" s="1175"/>
      <c r="M1094" s="1175">
        <v>5519416</v>
      </c>
      <c r="N1094" s="963"/>
      <c r="O1094" s="964"/>
      <c r="P1094" s="961"/>
      <c r="Q1094" s="801"/>
    </row>
    <row r="1095" spans="1:17" ht="13.5" thickBot="1">
      <c r="A1095" s="1011"/>
      <c r="B1095" s="1139"/>
      <c r="C1095" s="1140"/>
      <c r="D1095" s="1140"/>
      <c r="E1095" s="1140"/>
      <c r="F1095" s="1140"/>
      <c r="G1095" s="1140"/>
      <c r="H1095" s="1141"/>
      <c r="I1095" s="1095">
        <v>602.79</v>
      </c>
      <c r="J1095" s="1142" t="s">
        <v>385</v>
      </c>
      <c r="K1095" s="1180"/>
      <c r="L1095" s="1184"/>
      <c r="M1095" s="1184"/>
      <c r="N1095" s="963"/>
      <c r="O1095" s="961"/>
      <c r="P1095" s="961"/>
      <c r="Q1095" s="801"/>
    </row>
    <row r="1096" spans="1:17" ht="13.5" thickBot="1">
      <c r="A1096" s="1011"/>
      <c r="B1096" s="1114"/>
      <c r="C1096" s="1115"/>
      <c r="D1096" s="1115"/>
      <c r="E1096" s="1115"/>
      <c r="F1096" s="1115"/>
      <c r="G1096" s="1115"/>
      <c r="H1096" s="1116"/>
      <c r="I1096" s="1185">
        <v>602.79999999999995</v>
      </c>
      <c r="J1096" s="1118" t="s">
        <v>386</v>
      </c>
      <c r="K1096" s="1182">
        <f>SUM(K1097+K1098)</f>
        <v>0</v>
      </c>
      <c r="L1096" s="1183">
        <f>SUM(L1097+L1098)</f>
        <v>0</v>
      </c>
      <c r="M1096" s="1183">
        <f>SUM(M1097+M1098)</f>
        <v>0</v>
      </c>
      <c r="N1096" s="963"/>
      <c r="O1096" s="961"/>
      <c r="P1096" s="961"/>
      <c r="Q1096" s="801"/>
    </row>
    <row r="1097" spans="1:17">
      <c r="A1097" s="1011"/>
      <c r="B1097" s="1128"/>
      <c r="C1097" s="1129"/>
      <c r="D1097" s="1129"/>
      <c r="E1097" s="1129"/>
      <c r="F1097" s="1129"/>
      <c r="G1097" s="1129"/>
      <c r="H1097" s="1130"/>
      <c r="I1097" s="1131">
        <v>602.80999999999995</v>
      </c>
      <c r="J1097" s="699" t="s">
        <v>387</v>
      </c>
      <c r="K1097" s="1132"/>
      <c r="L1097" s="1133"/>
      <c r="M1097" s="1133"/>
      <c r="N1097" s="967"/>
      <c r="O1097" s="961"/>
      <c r="P1097" s="961"/>
      <c r="Q1097" s="804"/>
    </row>
    <row r="1098" spans="1:17" ht="13.5" thickBot="1">
      <c r="A1098" s="1011"/>
      <c r="B1098" s="1139"/>
      <c r="C1098" s="1140"/>
      <c r="D1098" s="1140"/>
      <c r="E1098" s="1140"/>
      <c r="F1098" s="1140"/>
      <c r="G1098" s="1140"/>
      <c r="H1098" s="1141"/>
      <c r="I1098" s="1095">
        <v>602.82000000000005</v>
      </c>
      <c r="J1098" s="1142" t="s">
        <v>388</v>
      </c>
      <c r="K1098" s="1143"/>
      <c r="L1098" s="1144"/>
      <c r="M1098" s="1144"/>
      <c r="N1098" s="962"/>
      <c r="O1098" s="961"/>
      <c r="P1098" s="961"/>
      <c r="Q1098" s="800"/>
    </row>
    <row r="1099" spans="1:17" ht="13.5" thickBot="1">
      <c r="A1099" s="1011"/>
      <c r="B1099" s="1114"/>
      <c r="C1099" s="1115"/>
      <c r="D1099" s="1115"/>
      <c r="E1099" s="1115"/>
      <c r="F1099" s="1115"/>
      <c r="G1099" s="1115"/>
      <c r="H1099" s="1116"/>
      <c r="I1099" s="1117">
        <v>602.9</v>
      </c>
      <c r="J1099" s="1118" t="s">
        <v>389</v>
      </c>
      <c r="K1099" s="1182">
        <f>SUM(K1100+K1101+K1102+K1103+K1104+K1105+K1106+K1107+K1108)</f>
        <v>0</v>
      </c>
      <c r="L1099" s="1183">
        <f>SUM(L1100+L1101+L1102+L1103+L1104+L1105+L1106+L1107+L1108)</f>
        <v>0</v>
      </c>
      <c r="M1099" s="1183">
        <f>SUM(M1100+M1101+M1102+M1103+M1104+M1105+M1106+M1107+M1108)</f>
        <v>377500</v>
      </c>
      <c r="N1099" s="967"/>
      <c r="O1099" s="961"/>
      <c r="P1099" s="961"/>
      <c r="Q1099" s="800"/>
    </row>
    <row r="1100" spans="1:17">
      <c r="A1100" s="1011"/>
      <c r="B1100" s="1121"/>
      <c r="C1100" s="1122"/>
      <c r="D1100" s="1122"/>
      <c r="E1100" s="1122"/>
      <c r="F1100" s="1122"/>
      <c r="G1100" s="1122"/>
      <c r="H1100" s="1123"/>
      <c r="I1100" s="1124">
        <v>602.90009999999995</v>
      </c>
      <c r="J1100" s="1125" t="s">
        <v>390</v>
      </c>
      <c r="K1100" s="1186"/>
      <c r="L1100" s="1187"/>
      <c r="M1100" s="1187"/>
      <c r="N1100" s="967"/>
      <c r="O1100" s="961"/>
      <c r="P1100" s="961"/>
      <c r="Q1100" s="804"/>
    </row>
    <row r="1101" spans="1:17">
      <c r="A1101" s="1011"/>
      <c r="B1101" s="1134"/>
      <c r="C1101" s="1135"/>
      <c r="D1101" s="1135"/>
      <c r="E1101" s="1135"/>
      <c r="F1101" s="1135"/>
      <c r="G1101" s="1135"/>
      <c r="H1101" s="1136"/>
      <c r="I1101" s="1081">
        <v>602.90020000000004</v>
      </c>
      <c r="J1101" s="700" t="s">
        <v>392</v>
      </c>
      <c r="K1101" s="1149"/>
      <c r="L1101" s="1150"/>
      <c r="M1101" s="1150"/>
      <c r="N1101" s="965"/>
      <c r="O1101" s="961"/>
      <c r="P1101" s="961"/>
      <c r="Q1101" s="802"/>
    </row>
    <row r="1102" spans="1:17">
      <c r="A1102" s="1011"/>
      <c r="B1102" s="1134"/>
      <c r="C1102" s="1135"/>
      <c r="D1102" s="1135"/>
      <c r="E1102" s="1135"/>
      <c r="F1102" s="1135"/>
      <c r="G1102" s="1135"/>
      <c r="H1102" s="1136"/>
      <c r="I1102" s="1081">
        <v>602.90030000000002</v>
      </c>
      <c r="J1102" s="700" t="s">
        <v>391</v>
      </c>
      <c r="K1102" s="1149"/>
      <c r="L1102" s="1150"/>
      <c r="M1102" s="1150">
        <v>12000</v>
      </c>
      <c r="N1102" s="965"/>
      <c r="O1102" s="961"/>
      <c r="P1102" s="961"/>
      <c r="Q1102" s="802"/>
    </row>
    <row r="1103" spans="1:17">
      <c r="A1103" s="1011"/>
      <c r="B1103" s="1134"/>
      <c r="C1103" s="1135"/>
      <c r="D1103" s="1135"/>
      <c r="E1103" s="1135"/>
      <c r="F1103" s="1135"/>
      <c r="G1103" s="1135"/>
      <c r="H1103" s="1136"/>
      <c r="I1103" s="1081">
        <v>602.90039999999999</v>
      </c>
      <c r="J1103" s="700" t="s">
        <v>393</v>
      </c>
      <c r="K1103" s="1149"/>
      <c r="L1103" s="1150"/>
      <c r="M1103" s="1150"/>
      <c r="N1103" s="965"/>
      <c r="O1103" s="961"/>
      <c r="P1103" s="961"/>
      <c r="Q1103" s="802"/>
    </row>
    <row r="1104" spans="1:17">
      <c r="A1104" s="1011"/>
      <c r="B1104" s="1134"/>
      <c r="C1104" s="1135"/>
      <c r="D1104" s="1135"/>
      <c r="E1104" s="1135"/>
      <c r="F1104" s="1135"/>
      <c r="G1104" s="1135"/>
      <c r="H1104" s="1136"/>
      <c r="I1104" s="1081">
        <v>602.90049999999997</v>
      </c>
      <c r="J1104" s="700" t="s">
        <v>394</v>
      </c>
      <c r="K1104" s="1149"/>
      <c r="L1104" s="1150"/>
      <c r="M1104" s="1150">
        <f>344500+21000</f>
        <v>365500</v>
      </c>
      <c r="N1104" s="965"/>
      <c r="O1104" s="964"/>
      <c r="P1104" s="961"/>
      <c r="Q1104" s="802"/>
    </row>
    <row r="1105" spans="1:18">
      <c r="A1105" s="1011"/>
      <c r="B1105" s="1134"/>
      <c r="C1105" s="1135"/>
      <c r="D1105" s="1135"/>
      <c r="E1105" s="1135"/>
      <c r="F1105" s="1135"/>
      <c r="G1105" s="1135"/>
      <c r="H1105" s="1136"/>
      <c r="I1105" s="1081">
        <v>602.90060000000005</v>
      </c>
      <c r="J1105" s="700" t="s">
        <v>395</v>
      </c>
      <c r="K1105" s="1149"/>
      <c r="L1105" s="1150"/>
      <c r="M1105" s="1150"/>
      <c r="N1105" s="965"/>
      <c r="O1105" s="961"/>
      <c r="P1105" s="961"/>
      <c r="Q1105" s="802"/>
    </row>
    <row r="1106" spans="1:18">
      <c r="A1106" s="1011"/>
      <c r="B1106" s="1134"/>
      <c r="C1106" s="1135"/>
      <c r="D1106" s="1135"/>
      <c r="E1106" s="1135"/>
      <c r="F1106" s="1135"/>
      <c r="G1106" s="1135"/>
      <c r="H1106" s="1136"/>
      <c r="I1106" s="1081">
        <v>602.90070000000003</v>
      </c>
      <c r="J1106" s="700" t="s">
        <v>396</v>
      </c>
      <c r="K1106" s="1137"/>
      <c r="L1106" s="1138"/>
      <c r="M1106" s="1138"/>
      <c r="N1106" s="965"/>
      <c r="O1106" s="961"/>
      <c r="P1106" s="961"/>
      <c r="Q1106" s="802"/>
    </row>
    <row r="1107" spans="1:18">
      <c r="A1107" s="1011"/>
      <c r="B1107" s="1134"/>
      <c r="C1107" s="1135"/>
      <c r="D1107" s="1135"/>
      <c r="E1107" s="1135"/>
      <c r="F1107" s="1135"/>
      <c r="G1107" s="1135"/>
      <c r="H1107" s="1136"/>
      <c r="I1107" s="1081">
        <v>602.90080000000103</v>
      </c>
      <c r="J1107" s="700" t="s">
        <v>397</v>
      </c>
      <c r="K1107" s="1149"/>
      <c r="L1107" s="1150"/>
      <c r="M1107" s="1150"/>
      <c r="N1107" s="962"/>
      <c r="O1107" s="961"/>
      <c r="P1107" s="961"/>
      <c r="Q1107" s="800"/>
    </row>
    <row r="1108" spans="1:18" ht="13.5" thickBot="1">
      <c r="A1108" s="1011"/>
      <c r="B1108" s="1139"/>
      <c r="C1108" s="1140"/>
      <c r="D1108" s="1140"/>
      <c r="E1108" s="1140"/>
      <c r="F1108" s="1140"/>
      <c r="G1108" s="1140"/>
      <c r="H1108" s="1141"/>
      <c r="I1108" s="1095">
        <v>602.900900000001</v>
      </c>
      <c r="J1108" s="1142" t="s">
        <v>398</v>
      </c>
      <c r="K1108" s="1168"/>
      <c r="L1108" s="1188"/>
      <c r="M1108" s="1188"/>
      <c r="N1108" s="965"/>
      <c r="O1108" s="961"/>
      <c r="P1108" s="961"/>
      <c r="Q1108" s="802"/>
    </row>
    <row r="1109" spans="1:18" ht="13.5" thickBot="1">
      <c r="A1109" s="1011"/>
      <c r="B1109" s="1189"/>
      <c r="C1109" s="1190"/>
      <c r="D1109" s="1190"/>
      <c r="E1109" s="1190"/>
      <c r="F1109" s="1190"/>
      <c r="G1109" s="1191"/>
      <c r="H1109" s="1192">
        <v>606</v>
      </c>
      <c r="I1109" s="1193">
        <v>606.91</v>
      </c>
      <c r="J1109" s="1194" t="s">
        <v>406</v>
      </c>
      <c r="K1109" s="1195"/>
      <c r="L1109" s="1196"/>
      <c r="M1109" s="1196"/>
      <c r="N1109" s="973"/>
      <c r="O1109" s="961"/>
      <c r="P1109" s="974"/>
      <c r="Q1109" s="802"/>
    </row>
    <row r="1110" spans="1:18" ht="15.75" thickBot="1">
      <c r="A1110" s="1011"/>
      <c r="B1110" s="1197"/>
      <c r="C1110" s="1198"/>
      <c r="D1110" s="1198"/>
      <c r="E1110" s="1199">
        <v>6</v>
      </c>
      <c r="F1110" s="1198"/>
      <c r="G1110" s="1200">
        <v>10430</v>
      </c>
      <c r="H1110" s="1201">
        <v>231</v>
      </c>
      <c r="I1110" s="1202"/>
      <c r="J1110" s="1203" t="s">
        <v>435</v>
      </c>
      <c r="K1110" s="1204"/>
      <c r="L1110" s="1204"/>
      <c r="M1110" s="1204"/>
      <c r="N1110" s="965"/>
      <c r="O1110" s="961"/>
      <c r="P1110" s="961"/>
      <c r="Q1110" s="802"/>
    </row>
    <row r="1111" spans="1:18" ht="15">
      <c r="A1111" s="1011"/>
      <c r="B1111" s="10"/>
      <c r="C1111" s="1011" t="s">
        <v>534</v>
      </c>
      <c r="D1111" s="1011"/>
      <c r="E1111" s="1011"/>
      <c r="F1111" s="1011"/>
      <c r="G1111" s="1011"/>
      <c r="H1111" s="1011"/>
      <c r="I1111" s="1011"/>
      <c r="J1111" s="1205"/>
      <c r="K1111" s="1206"/>
      <c r="L1111" s="1207"/>
      <c r="M1111" s="1207"/>
      <c r="N1111" s="975"/>
      <c r="O1111" s="961"/>
      <c r="P1111" s="961"/>
      <c r="R1111" s="380"/>
    </row>
    <row r="1112" spans="1:18" ht="15">
      <c r="A1112" s="1011"/>
      <c r="B1112" s="10"/>
      <c r="C1112" s="1011" t="s">
        <v>433</v>
      </c>
      <c r="D1112" s="1011"/>
      <c r="E1112" s="1011"/>
      <c r="F1112" s="1011"/>
      <c r="G1112" s="1011"/>
      <c r="H1112" s="1011"/>
      <c r="I1112" s="1011"/>
      <c r="J1112" s="1205"/>
      <c r="K1112" s="1216" t="s">
        <v>536</v>
      </c>
      <c r="L1112" s="1217"/>
      <c r="M1112" s="1208"/>
      <c r="N1112" s="488"/>
    </row>
    <row r="1113" spans="1:18" ht="15">
      <c r="A1113" s="1011"/>
      <c r="B1113" s="10"/>
      <c r="C1113" s="1011"/>
      <c r="D1113" s="1010" t="s">
        <v>402</v>
      </c>
      <c r="E1113" s="1010"/>
      <c r="F1113" s="1010"/>
      <c r="G1113" s="1010"/>
      <c r="H1113" s="1011"/>
      <c r="I1113" s="12"/>
      <c r="J1113" s="1209"/>
      <c r="M1113" s="1207"/>
      <c r="N1113" s="490"/>
    </row>
    <row r="1114" spans="1:18">
      <c r="A1114" s="1011"/>
      <c r="B1114" s="10"/>
      <c r="C1114" s="1011"/>
      <c r="D1114" s="1210" t="s">
        <v>439</v>
      </c>
      <c r="E1114" s="1010"/>
      <c r="F1114" s="1010"/>
      <c r="G1114" s="1010"/>
      <c r="H1114" s="1010"/>
      <c r="I1114" s="1010"/>
      <c r="J1114" s="1211"/>
      <c r="K1114" s="1214" t="s">
        <v>535</v>
      </c>
      <c r="L1114" s="1215"/>
      <c r="M1114" s="1212"/>
      <c r="N1114" s="149"/>
    </row>
    <row r="1117" spans="1:18">
      <c r="A1117" s="163"/>
      <c r="B1117" s="163"/>
      <c r="C1117" s="163"/>
      <c r="D1117" s="71"/>
      <c r="E1117" s="383"/>
      <c r="F1117" s="383"/>
      <c r="G1117" s="383"/>
      <c r="H1117" s="383"/>
      <c r="I1117" s="383"/>
      <c r="J1117" s="383"/>
      <c r="K1117" s="398"/>
      <c r="L1117" s="489"/>
      <c r="M1117" s="489"/>
    </row>
    <row r="1118" spans="1:18" ht="15">
      <c r="A1118" s="163"/>
      <c r="B1118" s="163"/>
      <c r="C1118" s="210"/>
      <c r="D1118" s="210"/>
      <c r="E1118" s="210"/>
      <c r="F1118" s="210"/>
      <c r="G1118" s="210"/>
      <c r="H1118" s="210"/>
      <c r="I1118" s="213"/>
      <c r="J1118" s="681"/>
      <c r="K1118" s="215"/>
      <c r="L1118" s="210"/>
      <c r="M1118" s="210"/>
    </row>
    <row r="1119" spans="1:18">
      <c r="A1119" s="163"/>
      <c r="B1119" s="163"/>
      <c r="C1119" s="210"/>
      <c r="D1119" s="210"/>
      <c r="E1119" s="210"/>
      <c r="F1119" s="210"/>
      <c r="G1119" s="210"/>
      <c r="H1119" s="211"/>
      <c r="I1119" s="211"/>
      <c r="J1119" s="211"/>
      <c r="K1119" s="211"/>
      <c r="L1119" s="212"/>
      <c r="M1119" s="212"/>
    </row>
    <row r="1120" spans="1:18">
      <c r="B1120" s="163"/>
      <c r="C1120" s="210"/>
      <c r="D1120" s="210"/>
      <c r="E1120" s="210"/>
      <c r="F1120" s="210"/>
      <c r="G1120" s="210"/>
      <c r="H1120" s="210"/>
      <c r="I1120" s="830"/>
      <c r="J1120" s="845"/>
      <c r="K1120" s="830"/>
      <c r="L1120" s="835"/>
      <c r="M1120" s="835"/>
    </row>
    <row r="1121" spans="1:15" ht="15">
      <c r="B1121" s="216"/>
      <c r="C1121" s="217"/>
      <c r="D1121" s="217"/>
      <c r="E1121" s="218"/>
      <c r="F1121" s="218"/>
      <c r="G1121" s="218"/>
      <c r="H1121" s="218"/>
      <c r="I1121" s="911"/>
      <c r="J1121" s="911"/>
      <c r="K1121" s="912"/>
      <c r="L1121" s="913"/>
      <c r="M1121" s="913"/>
    </row>
    <row r="1122" spans="1:15" ht="15">
      <c r="B1122" s="221"/>
      <c r="C1122" s="218" t="s">
        <v>301</v>
      </c>
      <c r="D1122" s="218"/>
      <c r="E1122" s="218"/>
      <c r="F1122" s="218"/>
      <c r="G1122" s="218"/>
      <c r="H1122" s="218"/>
      <c r="I1122" s="911"/>
      <c r="J1122" s="914"/>
      <c r="K1122" s="911"/>
      <c r="L1122" s="913"/>
      <c r="M1122" s="913"/>
    </row>
    <row r="1123" spans="1:15" ht="15">
      <c r="B1123" s="221"/>
      <c r="C1123" s="218"/>
      <c r="D1123" s="218"/>
      <c r="E1123" s="218"/>
      <c r="F1123" s="223"/>
      <c r="G1123" s="218"/>
      <c r="H1123" s="218"/>
      <c r="I1123" s="911"/>
      <c r="J1123" s="911"/>
      <c r="K1123" s="913"/>
      <c r="L1123" s="914"/>
      <c r="M1123" s="913"/>
    </row>
    <row r="1124" spans="1:15" ht="15">
      <c r="A1124" s="163"/>
      <c r="B1124" s="224"/>
      <c r="C1124" s="224"/>
      <c r="E1124" s="224"/>
      <c r="F1124" s="224"/>
      <c r="G1124" s="392"/>
      <c r="H1124" s="224"/>
      <c r="I1124" s="915"/>
      <c r="J1124" s="65"/>
      <c r="K1124" s="916"/>
      <c r="L1124" s="917"/>
      <c r="M1124" s="917"/>
    </row>
    <row r="1125" spans="1:15" ht="14.25">
      <c r="A1125" s="1008"/>
      <c r="B1125" s="1009"/>
      <c r="C1125" s="1010" t="s">
        <v>300</v>
      </c>
      <c r="D1125" s="226"/>
      <c r="E1125" s="1009"/>
      <c r="F1125" s="1011"/>
      <c r="G1125" s="226"/>
      <c r="H1125" s="1012"/>
      <c r="I1125" s="1013"/>
      <c r="J1125" s="230" t="s">
        <v>526</v>
      </c>
      <c r="K1125" s="3046" t="s">
        <v>540</v>
      </c>
      <c r="L1125" s="3046"/>
      <c r="M1125" s="3046"/>
    </row>
    <row r="1126" spans="1:15" ht="15" thickBot="1">
      <c r="A1126" s="1008"/>
      <c r="B1126" s="1015"/>
      <c r="C1126" s="1015"/>
      <c r="D1126" s="237"/>
      <c r="E1126" s="1015"/>
      <c r="F1126" s="1015"/>
      <c r="G1126" s="234"/>
      <c r="H1126" s="1016"/>
      <c r="I1126" s="1017"/>
      <c r="J1126" s="1218" t="s">
        <v>539</v>
      </c>
      <c r="K1126" s="238"/>
      <c r="L1126" s="456"/>
      <c r="M1126" s="456"/>
    </row>
    <row r="1127" spans="1:15" ht="42.75" customHeight="1" thickBot="1">
      <c r="A1127" s="1011"/>
      <c r="B1127" s="1019" t="s">
        <v>137</v>
      </c>
      <c r="C1127" s="1020" t="s">
        <v>138</v>
      </c>
      <c r="D1127" s="1019" t="s">
        <v>139</v>
      </c>
      <c r="E1127" s="1019" t="s">
        <v>140</v>
      </c>
      <c r="F1127" s="1019" t="s">
        <v>141</v>
      </c>
      <c r="G1127" s="1019" t="s">
        <v>142</v>
      </c>
      <c r="H1127" s="1021" t="s">
        <v>126</v>
      </c>
      <c r="I1127" s="1019" t="s">
        <v>143</v>
      </c>
      <c r="J1127" s="1022" t="s">
        <v>304</v>
      </c>
      <c r="K1127" s="1023" t="s">
        <v>434</v>
      </c>
      <c r="L1127" s="1024" t="s">
        <v>502</v>
      </c>
      <c r="M1127" s="1025" t="s">
        <v>305</v>
      </c>
    </row>
    <row r="1128" spans="1:15" ht="16.7" customHeight="1" thickBot="1">
      <c r="A1128" s="1011"/>
      <c r="B1128" s="1026" t="s">
        <v>148</v>
      </c>
      <c r="C1128" s="1027">
        <v>25</v>
      </c>
      <c r="D1128" s="3040" t="s">
        <v>267</v>
      </c>
      <c r="E1128" s="1029">
        <v>1</v>
      </c>
      <c r="F1128" s="1029">
        <v>1111</v>
      </c>
      <c r="G1128" s="1030">
        <v>10430</v>
      </c>
      <c r="H1128" s="1031"/>
      <c r="I1128" s="1032"/>
      <c r="J1128" s="1033" t="s">
        <v>308</v>
      </c>
      <c r="K1128" s="1034">
        <f>SUM(K1129+K1130+K1131+K1132)</f>
        <v>0</v>
      </c>
      <c r="L1128" s="1034">
        <f>SUM(L1129+L1130+L1131+L1132)</f>
        <v>0</v>
      </c>
      <c r="M1128" s="1034"/>
    </row>
    <row r="1129" spans="1:15">
      <c r="A1129" s="1011"/>
      <c r="B1129" s="1035"/>
      <c r="C1129" s="1036"/>
      <c r="D1129" s="3041"/>
      <c r="E1129" s="1036"/>
      <c r="F1129" s="1036"/>
      <c r="G1129" s="1036"/>
      <c r="H1129" s="1037"/>
      <c r="I1129" s="1038"/>
      <c r="J1129" s="1039" t="s">
        <v>309</v>
      </c>
      <c r="K1129" s="1040"/>
      <c r="L1129" s="1041"/>
      <c r="M1129" s="1042"/>
    </row>
    <row r="1130" spans="1:15">
      <c r="A1130" s="1011"/>
      <c r="B1130" s="1043"/>
      <c r="C1130" s="1044"/>
      <c r="D1130" s="3041"/>
      <c r="E1130" s="1044"/>
      <c r="F1130" s="1044"/>
      <c r="G1130" s="1044"/>
      <c r="H1130" s="1045"/>
      <c r="I1130" s="1046"/>
      <c r="J1130" s="1047" t="s">
        <v>310</v>
      </c>
      <c r="K1130" s="1048"/>
      <c r="L1130" s="1049"/>
      <c r="M1130" s="1049"/>
    </row>
    <row r="1131" spans="1:15">
      <c r="A1131" s="1011"/>
      <c r="B1131" s="1043"/>
      <c r="C1131" s="1044"/>
      <c r="D1131" s="3041"/>
      <c r="E1131" s="1044"/>
      <c r="F1131" s="1044"/>
      <c r="G1131" s="1044"/>
      <c r="H1131" s="1045"/>
      <c r="I1131" s="1046"/>
      <c r="J1131" s="1047" t="s">
        <v>311</v>
      </c>
      <c r="K1131" s="1048"/>
      <c r="L1131" s="1049"/>
      <c r="M1131" s="1049"/>
    </row>
    <row r="1132" spans="1:15" ht="13.5" thickBot="1">
      <c r="A1132" s="1010"/>
      <c r="B1132" s="1050"/>
      <c r="C1132" s="1051"/>
      <c r="D1132" s="3042"/>
      <c r="E1132" s="1051"/>
      <c r="F1132" s="1051"/>
      <c r="G1132" s="1051"/>
      <c r="H1132" s="1052"/>
      <c r="I1132" s="1053"/>
      <c r="J1132" s="1054" t="s">
        <v>312</v>
      </c>
      <c r="K1132" s="1055"/>
      <c r="L1132" s="1056"/>
      <c r="M1132" s="1056"/>
    </row>
    <row r="1133" spans="1:15" ht="16.5" thickBot="1">
      <c r="A1133" s="1010"/>
      <c r="B1133" s="1057"/>
      <c r="C1133" s="1058"/>
      <c r="D1133" s="1058"/>
      <c r="E1133" s="1058"/>
      <c r="F1133" s="1058"/>
      <c r="G1133" s="1058"/>
      <c r="H1133" s="1058"/>
      <c r="I1133" s="1059"/>
      <c r="J1133" s="1060" t="s">
        <v>313</v>
      </c>
      <c r="K1133" s="1061">
        <f>SUM(K1134+K1149+K1152+K1231+K1232)</f>
        <v>68260</v>
      </c>
      <c r="L1133" s="1061">
        <f>SUM(L1134+L1149+L1152+L1231+L1232)</f>
        <v>63392</v>
      </c>
      <c r="M1133" s="1062">
        <f>SUM(M1134+M1149+M1152+M1231+M1232)</f>
        <v>61136254</v>
      </c>
    </row>
    <row r="1134" spans="1:15" ht="13.5" thickBot="1">
      <c r="A1134" s="1010"/>
      <c r="B1134" s="1063"/>
      <c r="C1134" s="1064"/>
      <c r="D1134" s="1064"/>
      <c r="E1134" s="1064"/>
      <c r="F1134" s="1064"/>
      <c r="G1134" s="1064"/>
      <c r="H1134" s="1065">
        <v>600</v>
      </c>
      <c r="I1134" s="1066"/>
      <c r="J1134" s="1067" t="s">
        <v>314</v>
      </c>
      <c r="K1134" s="1068">
        <f>SUM(K1135+K1136+K1137+K1138+K1139+K1140+K1141+K1142+K1143+K1144+K1145+K1146+K1147+K1148)</f>
        <v>40700</v>
      </c>
      <c r="L1134" s="1068">
        <f>L1135+L1145+L1148</f>
        <v>37387</v>
      </c>
      <c r="M1134" s="1069">
        <f>M1135+M1145+M1148</f>
        <v>35226461</v>
      </c>
    </row>
    <row r="1135" spans="1:15">
      <c r="A1135" s="1010"/>
      <c r="B1135" s="1070"/>
      <c r="C1135" s="1071"/>
      <c r="D1135" s="1071"/>
      <c r="E1135" s="1071"/>
      <c r="F1135" s="1071"/>
      <c r="G1135" s="1071"/>
      <c r="H1135" s="1072"/>
      <c r="I1135" s="1073">
        <v>600.1</v>
      </c>
      <c r="J1135" s="1074" t="s">
        <v>315</v>
      </c>
      <c r="K1135" s="1075">
        <f>41700-1000</f>
        <v>40700</v>
      </c>
      <c r="L1135" s="1076">
        <v>37387</v>
      </c>
      <c r="M1135" s="1077">
        <f>SUM(M1136:M1140)</f>
        <v>35177461</v>
      </c>
    </row>
    <row r="1136" spans="1:15">
      <c r="A1136" s="1010"/>
      <c r="B1136" s="1078"/>
      <c r="C1136" s="1079"/>
      <c r="D1136" s="1079"/>
      <c r="E1136" s="1079"/>
      <c r="F1136" s="1079"/>
      <c r="G1136" s="1079"/>
      <c r="H1136" s="1080"/>
      <c r="I1136" s="1081">
        <v>600.1001</v>
      </c>
      <c r="J1136" s="1082" t="s">
        <v>316</v>
      </c>
      <c r="K1136" s="1083"/>
      <c r="L1136" s="1084"/>
      <c r="M1136" s="1220">
        <v>26082107</v>
      </c>
      <c r="N1136" s="1222">
        <f>O1136+M1136</f>
        <v>28469580</v>
      </c>
      <c r="O1136" s="149">
        <v>2387473</v>
      </c>
    </row>
    <row r="1137" spans="1:15">
      <c r="A1137" s="1010"/>
      <c r="B1137" s="1078"/>
      <c r="C1137" s="1079"/>
      <c r="D1137" s="1079"/>
      <c r="E1137" s="1079"/>
      <c r="F1137" s="1079"/>
      <c r="G1137" s="1079"/>
      <c r="H1137" s="1080"/>
      <c r="I1137" s="1081">
        <v>600.10019999999997</v>
      </c>
      <c r="J1137" s="1082" t="s">
        <v>317</v>
      </c>
      <c r="K1137" s="1083"/>
      <c r="L1137" s="1084"/>
      <c r="M1137" s="1220">
        <v>35988</v>
      </c>
      <c r="N1137" s="1222">
        <f>O1137+M1137</f>
        <v>36580</v>
      </c>
      <c r="O1137" s="149">
        <v>592</v>
      </c>
    </row>
    <row r="1138" spans="1:15">
      <c r="A1138" s="1010"/>
      <c r="B1138" s="1078"/>
      <c r="C1138" s="1079"/>
      <c r="D1138" s="1079"/>
      <c r="E1138" s="1079"/>
      <c r="F1138" s="1079"/>
      <c r="G1138" s="1079"/>
      <c r="H1138" s="1080"/>
      <c r="I1138" s="1081">
        <v>600.10029999999995</v>
      </c>
      <c r="J1138" s="1082" t="s">
        <v>318</v>
      </c>
      <c r="K1138" s="1083"/>
      <c r="L1138" s="1084"/>
      <c r="M1138" s="1220">
        <v>1869881</v>
      </c>
      <c r="N1138" s="1222">
        <f>O1138+M1138</f>
        <v>2024930</v>
      </c>
      <c r="O1138" s="149">
        <v>155049</v>
      </c>
    </row>
    <row r="1139" spans="1:15">
      <c r="A1139" s="1010"/>
      <c r="B1139" s="1078"/>
      <c r="C1139" s="1079"/>
      <c r="D1139" s="1079"/>
      <c r="E1139" s="1079"/>
      <c r="F1139" s="1079"/>
      <c r="G1139" s="1079"/>
      <c r="H1139" s="1080"/>
      <c r="I1139" s="1081">
        <v>600.10050000000001</v>
      </c>
      <c r="J1139" s="1082" t="s">
        <v>475</v>
      </c>
      <c r="K1139" s="1083"/>
      <c r="L1139" s="1084"/>
      <c r="M1139" s="1220">
        <v>6890000</v>
      </c>
      <c r="N1139" s="1222">
        <f>O1139+M1139</f>
        <v>7487107</v>
      </c>
      <c r="O1139" s="149">
        <v>597107</v>
      </c>
    </row>
    <row r="1140" spans="1:15">
      <c r="A1140" s="1010"/>
      <c r="B1140" s="1078"/>
      <c r="C1140" s="1079"/>
      <c r="D1140" s="1079"/>
      <c r="E1140" s="1079"/>
      <c r="F1140" s="1079"/>
      <c r="G1140" s="1079"/>
      <c r="H1140" s="1080"/>
      <c r="I1140" s="1081"/>
      <c r="J1140" s="1082" t="s">
        <v>326</v>
      </c>
      <c r="K1140" s="1083"/>
      <c r="L1140" s="1086"/>
      <c r="M1140" s="1220">
        <v>299485</v>
      </c>
      <c r="N1140" s="1222">
        <f>O1140+M1140</f>
        <v>311232</v>
      </c>
      <c r="O1140" s="149">
        <v>11747</v>
      </c>
    </row>
    <row r="1141" spans="1:15">
      <c r="A1141" s="1010"/>
      <c r="B1141" s="1087"/>
      <c r="C1141" s="1079"/>
      <c r="D1141" s="1079"/>
      <c r="E1141" s="1079"/>
      <c r="F1141" s="1079"/>
      <c r="G1141" s="1079"/>
      <c r="H1141" s="1080"/>
      <c r="I1141" s="1081">
        <v>600.20000000000005</v>
      </c>
      <c r="J1141" s="1082" t="s">
        <v>320</v>
      </c>
      <c r="K1141" s="1083"/>
      <c r="L1141" s="1088"/>
      <c r="M1141" s="1089"/>
      <c r="O1141" s="149">
        <f>SUM(O1136:O1140)</f>
        <v>3151968</v>
      </c>
    </row>
    <row r="1142" spans="1:15">
      <c r="A1142" s="1010"/>
      <c r="B1142" s="1087"/>
      <c r="C1142" s="1079"/>
      <c r="D1142" s="1079"/>
      <c r="E1142" s="1079"/>
      <c r="F1142" s="1079"/>
      <c r="G1142" s="1079"/>
      <c r="H1142" s="1080"/>
      <c r="I1142" s="1081">
        <v>600.21</v>
      </c>
      <c r="J1142" s="1082" t="s">
        <v>321</v>
      </c>
      <c r="K1142" s="1083"/>
      <c r="L1142" s="1089"/>
      <c r="M1142" s="1089"/>
    </row>
    <row r="1143" spans="1:15">
      <c r="A1143" s="1010"/>
      <c r="B1143" s="1087"/>
      <c r="C1143" s="1079"/>
      <c r="D1143" s="1079"/>
      <c r="E1143" s="1079"/>
      <c r="F1143" s="1079"/>
      <c r="G1143" s="1079"/>
      <c r="H1143" s="1080"/>
      <c r="I1143" s="1081">
        <v>600.22</v>
      </c>
      <c r="J1143" s="1082" t="s">
        <v>322</v>
      </c>
      <c r="K1143" s="1083"/>
      <c r="L1143" s="1089"/>
      <c r="M1143" s="1089"/>
    </row>
    <row r="1144" spans="1:15">
      <c r="A1144" s="1010"/>
      <c r="B1144" s="1087"/>
      <c r="C1144" s="1079"/>
      <c r="D1144" s="1079"/>
      <c r="E1144" s="1079"/>
      <c r="F1144" s="1079"/>
      <c r="G1144" s="1079"/>
      <c r="H1144" s="1080"/>
      <c r="I1144" s="1081">
        <v>600.29</v>
      </c>
      <c r="J1144" s="1082" t="s">
        <v>323</v>
      </c>
      <c r="K1144" s="1083"/>
      <c r="L1144" s="1089"/>
      <c r="M1144" s="1089"/>
    </row>
    <row r="1145" spans="1:15">
      <c r="A1145" s="1010"/>
      <c r="B1145" s="1087"/>
      <c r="C1145" s="1079"/>
      <c r="D1145" s="1079"/>
      <c r="E1145" s="1079"/>
      <c r="F1145" s="1079"/>
      <c r="G1145" s="1079"/>
      <c r="H1145" s="1080"/>
      <c r="I1145" s="1081">
        <v>600.29999999999995</v>
      </c>
      <c r="J1145" s="1082" t="s">
        <v>324</v>
      </c>
      <c r="K1145" s="1083"/>
      <c r="L1145" s="1089"/>
      <c r="M1145" s="1089">
        <v>49000</v>
      </c>
    </row>
    <row r="1146" spans="1:15">
      <c r="A1146" s="1010"/>
      <c r="B1146" s="1087"/>
      <c r="C1146" s="1079"/>
      <c r="D1146" s="1079"/>
      <c r="E1146" s="1079"/>
      <c r="F1146" s="1079"/>
      <c r="G1146" s="1079"/>
      <c r="H1146" s="1080"/>
      <c r="I1146" s="1081">
        <v>600.30999999999995</v>
      </c>
      <c r="J1146" s="1082" t="s">
        <v>325</v>
      </c>
      <c r="K1146" s="1083"/>
      <c r="L1146" s="1089"/>
      <c r="M1146" s="1089"/>
    </row>
    <row r="1147" spans="1:15" ht="13.5" thickBot="1">
      <c r="A1147" s="1010"/>
      <c r="B1147" s="1087"/>
      <c r="C1147" s="1079"/>
      <c r="D1147" s="1079"/>
      <c r="E1147" s="1079"/>
      <c r="F1147" s="1079"/>
      <c r="G1147" s="1079"/>
      <c r="H1147" s="1080"/>
      <c r="I1147" s="1081"/>
      <c r="J1147" s="1082" t="s">
        <v>323</v>
      </c>
      <c r="K1147" s="1083"/>
      <c r="L1147" s="1090"/>
      <c r="M1147" s="1091"/>
    </row>
    <row r="1148" spans="1:15" ht="13.5" thickBot="1">
      <c r="A1148" s="1010"/>
      <c r="B1148" s="1092"/>
      <c r="C1148" s="1093"/>
      <c r="D1148" s="1093"/>
      <c r="E1148" s="1093"/>
      <c r="F1148" s="1093"/>
      <c r="G1148" s="1093"/>
      <c r="H1148" s="1094"/>
      <c r="I1148" s="1095">
        <v>600.9</v>
      </c>
      <c r="J1148" s="1096" t="s">
        <v>437</v>
      </c>
      <c r="K1148" s="1097"/>
      <c r="L1148" s="1098"/>
      <c r="M1148" s="1099"/>
    </row>
    <row r="1149" spans="1:15" ht="13.5" thickBot="1">
      <c r="A1149" s="1010"/>
      <c r="B1149" s="1063"/>
      <c r="C1149" s="1064"/>
      <c r="D1149" s="1064"/>
      <c r="E1149" s="1064"/>
      <c r="F1149" s="1064"/>
      <c r="G1149" s="1064"/>
      <c r="H1149" s="1065">
        <v>601</v>
      </c>
      <c r="I1149" s="1066"/>
      <c r="J1149" s="1067" t="s">
        <v>328</v>
      </c>
      <c r="K1149" s="1068">
        <f>K1150</f>
        <v>6360</v>
      </c>
      <c r="L1149" s="1068">
        <f>SUM(L1150:L1151)</f>
        <v>5805</v>
      </c>
      <c r="M1149" s="1069">
        <f>SUM(M1150+M1151)</f>
        <v>5750994</v>
      </c>
    </row>
    <row r="1150" spans="1:15">
      <c r="A1150" s="1010"/>
      <c r="B1150" s="1100"/>
      <c r="C1150" s="1101"/>
      <c r="D1150" s="1101"/>
      <c r="E1150" s="1101"/>
      <c r="F1150" s="1101"/>
      <c r="G1150" s="1101"/>
      <c r="H1150" s="1102"/>
      <c r="I1150" s="1103">
        <v>601.01</v>
      </c>
      <c r="J1150" s="1074" t="s">
        <v>329</v>
      </c>
      <c r="K1150" s="1075">
        <f>6660-300</f>
        <v>6360</v>
      </c>
      <c r="L1150" s="1075">
        <v>5805</v>
      </c>
      <c r="M1150" s="1219">
        <v>5166703</v>
      </c>
      <c r="N1150" s="1222">
        <f>O1150+M1150</f>
        <v>5636883</v>
      </c>
      <c r="O1150" s="149">
        <v>470180</v>
      </c>
    </row>
    <row r="1151" spans="1:15" ht="14.25" thickBot="1">
      <c r="A1151" s="1010"/>
      <c r="B1151" s="1092"/>
      <c r="C1151" s="1093"/>
      <c r="D1151" s="1093"/>
      <c r="E1151" s="1093"/>
      <c r="F1151" s="1093"/>
      <c r="G1151" s="1093"/>
      <c r="H1151" s="1094"/>
      <c r="I1151" s="1106">
        <v>601.11</v>
      </c>
      <c r="J1151" s="1096" t="s">
        <v>330</v>
      </c>
      <c r="K1151" s="1107"/>
      <c r="L1151" s="1108"/>
      <c r="M1151" s="1219">
        <v>584291</v>
      </c>
      <c r="N1151" s="1222">
        <f>O1151+M1151</f>
        <v>637578</v>
      </c>
      <c r="O1151" s="149">
        <v>53287</v>
      </c>
    </row>
    <row r="1152" spans="1:15" ht="13.5" thickBot="1">
      <c r="A1152" s="1010"/>
      <c r="B1152" s="1109"/>
      <c r="C1152" s="1110"/>
      <c r="D1152" s="1110"/>
      <c r="E1152" s="1110"/>
      <c r="F1152" s="1110"/>
      <c r="G1152" s="1110"/>
      <c r="H1152" s="1065">
        <v>602</v>
      </c>
      <c r="I1152" s="1111"/>
      <c r="J1152" s="1067" t="s">
        <v>170</v>
      </c>
      <c r="K1152" s="1112">
        <f>SUM(K1153+K1160+K1173+K1188+K1193+K1196+K1205+K1211+K1218+K1221)</f>
        <v>21200</v>
      </c>
      <c r="L1152" s="1112">
        <f>SUM(L1153+L1160+L1173+L1188+L1193+L1196+L1205+L1211+L1218+L1221)</f>
        <v>20200</v>
      </c>
      <c r="M1152" s="1113">
        <f>SUM(M1153+M1160+M1173+M1188+M1193+M1196+M1205+M1211+M1218+M1221)</f>
        <v>20158799</v>
      </c>
    </row>
    <row r="1153" spans="1:13" ht="13.5" thickBot="1">
      <c r="A1153" s="1010"/>
      <c r="B1153" s="1114"/>
      <c r="C1153" s="1115"/>
      <c r="D1153" s="1115"/>
      <c r="E1153" s="1115"/>
      <c r="F1153" s="1115"/>
      <c r="G1153" s="1115"/>
      <c r="H1153" s="1116"/>
      <c r="I1153" s="1117">
        <v>6020</v>
      </c>
      <c r="J1153" s="1118" t="s">
        <v>331</v>
      </c>
      <c r="K1153" s="1119">
        <v>21200</v>
      </c>
      <c r="L1153" s="1119">
        <v>20200</v>
      </c>
      <c r="M1153" s="1120">
        <f>SUM(M1154+M1155+M1156+M1157+M1158+M1159)</f>
        <v>1488120</v>
      </c>
    </row>
    <row r="1154" spans="1:13">
      <c r="A1154" s="1010"/>
      <c r="B1154" s="1121"/>
      <c r="C1154" s="1122"/>
      <c r="D1154" s="1122"/>
      <c r="E1154" s="1122"/>
      <c r="F1154" s="1122"/>
      <c r="G1154" s="1122"/>
      <c r="H1154" s="1123"/>
      <c r="I1154" s="1124" t="s">
        <v>11</v>
      </c>
      <c r="J1154" s="1125" t="s">
        <v>172</v>
      </c>
      <c r="K1154" s="1126"/>
      <c r="L1154" s="1127"/>
      <c r="M1154" s="1127">
        <v>393500</v>
      </c>
    </row>
    <row r="1155" spans="1:13">
      <c r="A1155" s="1010"/>
      <c r="B1155" s="1128"/>
      <c r="C1155" s="1129"/>
      <c r="D1155" s="1129"/>
      <c r="E1155" s="1129"/>
      <c r="F1155" s="1129"/>
      <c r="G1155" s="1129"/>
      <c r="H1155" s="1130"/>
      <c r="I1155" s="1131">
        <v>602.02</v>
      </c>
      <c r="J1155" s="699" t="s">
        <v>332</v>
      </c>
      <c r="K1155" s="1132"/>
      <c r="L1155" s="1133"/>
      <c r="M1155" s="1133">
        <v>169440</v>
      </c>
    </row>
    <row r="1156" spans="1:13">
      <c r="A1156" s="1010"/>
      <c r="B1156" s="1134"/>
      <c r="C1156" s="1135"/>
      <c r="D1156" s="1135"/>
      <c r="E1156" s="1135"/>
      <c r="F1156" s="1135"/>
      <c r="G1156" s="1135"/>
      <c r="H1156" s="1136"/>
      <c r="I1156" s="1081">
        <v>602.03</v>
      </c>
      <c r="J1156" s="700" t="s">
        <v>528</v>
      </c>
      <c r="K1156" s="1137"/>
      <c r="L1156" s="1138"/>
      <c r="M1156" s="1138">
        <v>357000</v>
      </c>
    </row>
    <row r="1157" spans="1:13">
      <c r="A1157" s="1011"/>
      <c r="B1157" s="1134"/>
      <c r="C1157" s="1135"/>
      <c r="D1157" s="1135"/>
      <c r="E1157" s="1135"/>
      <c r="F1157" s="1135"/>
      <c r="G1157" s="1135"/>
      <c r="H1157" s="1136"/>
      <c r="I1157" s="1081">
        <v>602.04</v>
      </c>
      <c r="J1157" s="700" t="s">
        <v>334</v>
      </c>
      <c r="K1157" s="1137"/>
      <c r="L1157" s="1138"/>
      <c r="M1157" s="1138"/>
    </row>
    <row r="1158" spans="1:13">
      <c r="A1158" s="1011"/>
      <c r="B1158" s="1134"/>
      <c r="C1158" s="1135"/>
      <c r="D1158" s="1135"/>
      <c r="E1158" s="1135"/>
      <c r="F1158" s="1135"/>
      <c r="G1158" s="1135"/>
      <c r="H1158" s="1136"/>
      <c r="I1158" s="1081">
        <v>602.04999999999995</v>
      </c>
      <c r="J1158" s="700" t="s">
        <v>529</v>
      </c>
      <c r="K1158" s="1137"/>
      <c r="L1158" s="1138"/>
      <c r="M1158" s="1138">
        <v>390100</v>
      </c>
    </row>
    <row r="1159" spans="1:13" ht="13.5" thickBot="1">
      <c r="A1159" s="1011"/>
      <c r="B1159" s="1139"/>
      <c r="C1159" s="1140"/>
      <c r="D1159" s="1140"/>
      <c r="E1159" s="1140"/>
      <c r="F1159" s="1140"/>
      <c r="G1159" s="1140"/>
      <c r="H1159" s="1141"/>
      <c r="I1159" s="1095">
        <v>602.09</v>
      </c>
      <c r="J1159" s="1142" t="s">
        <v>530</v>
      </c>
      <c r="K1159" s="1143"/>
      <c r="L1159" s="1144"/>
      <c r="M1159" s="1144">
        <v>178080</v>
      </c>
    </row>
    <row r="1160" spans="1:13" ht="13.5" thickBot="1">
      <c r="A1160" s="1011"/>
      <c r="B1160" s="1114"/>
      <c r="C1160" s="1115"/>
      <c r="D1160" s="1115"/>
      <c r="E1160" s="1115"/>
      <c r="F1160" s="1115"/>
      <c r="G1160" s="1115"/>
      <c r="H1160" s="1116"/>
      <c r="I1160" s="1117">
        <v>602.1</v>
      </c>
      <c r="J1160" s="1118" t="s">
        <v>336</v>
      </c>
      <c r="K1160" s="1145">
        <f>SUM(K1161+K1162+K1163+K1164+K1165+K1166+K1167+K1168+K1169+K1170+K1171+K1172)</f>
        <v>0</v>
      </c>
      <c r="L1160" s="1146">
        <f>SUM(L1161+L1162+L1163+L1164+L1165+L1166+L1167+L1168+L1169+L1170+L1171+L1172)</f>
        <v>0</v>
      </c>
      <c r="M1160" s="1146">
        <f>SUM(M1161+M1162+M1163+M1164+M1165+M1166+M1167+M1168+M1169+M1170+M1171+M1172)</f>
        <v>793369</v>
      </c>
    </row>
    <row r="1161" spans="1:13">
      <c r="A1161" s="1011"/>
      <c r="B1161" s="1128"/>
      <c r="C1161" s="1129"/>
      <c r="D1161" s="1129"/>
      <c r="E1161" s="1129"/>
      <c r="F1161" s="1129"/>
      <c r="G1161" s="1129"/>
      <c r="H1161" s="1130"/>
      <c r="I1161" s="1147">
        <v>602.1001</v>
      </c>
      <c r="J1161" s="699" t="s">
        <v>337</v>
      </c>
      <c r="K1161" s="1132"/>
      <c r="L1161" s="1133"/>
      <c r="M1161" s="1133"/>
    </row>
    <row r="1162" spans="1:13">
      <c r="A1162" s="1011"/>
      <c r="B1162" s="1134"/>
      <c r="C1162" s="1135"/>
      <c r="D1162" s="1135"/>
      <c r="E1162" s="1135"/>
      <c r="F1162" s="1135"/>
      <c r="G1162" s="1135"/>
      <c r="H1162" s="1136"/>
      <c r="I1162" s="1148">
        <v>602.10019999999997</v>
      </c>
      <c r="J1162" s="700" t="s">
        <v>338</v>
      </c>
      <c r="K1162" s="1137"/>
      <c r="L1162" s="1138"/>
      <c r="M1162" s="1138"/>
    </row>
    <row r="1163" spans="1:13">
      <c r="A1163" s="1011"/>
      <c r="B1163" s="1134"/>
      <c r="C1163" s="1135"/>
      <c r="D1163" s="1135"/>
      <c r="E1163" s="1135"/>
      <c r="F1163" s="1135"/>
      <c r="G1163" s="1135"/>
      <c r="H1163" s="1136"/>
      <c r="I1163" s="1148">
        <v>602.10029999999995</v>
      </c>
      <c r="J1163" s="700" t="s">
        <v>339</v>
      </c>
      <c r="K1163" s="1137"/>
      <c r="L1163" s="1138"/>
      <c r="M1163" s="1138"/>
    </row>
    <row r="1164" spans="1:13">
      <c r="A1164" s="1011"/>
      <c r="B1164" s="1134"/>
      <c r="C1164" s="1135"/>
      <c r="D1164" s="1135"/>
      <c r="E1164" s="1135"/>
      <c r="F1164" s="1135"/>
      <c r="G1164" s="1135"/>
      <c r="H1164" s="1136"/>
      <c r="I1164" s="1148">
        <v>602.10040000000004</v>
      </c>
      <c r="J1164" s="700" t="s">
        <v>340</v>
      </c>
      <c r="K1164" s="1137"/>
      <c r="L1164" s="1138"/>
      <c r="M1164" s="1138"/>
    </row>
    <row r="1165" spans="1:13">
      <c r="A1165" s="1011"/>
      <c r="B1165" s="1134"/>
      <c r="C1165" s="1135"/>
      <c r="D1165" s="1135"/>
      <c r="E1165" s="1135"/>
      <c r="F1165" s="1135"/>
      <c r="G1165" s="1135"/>
      <c r="H1165" s="1136"/>
      <c r="I1165" s="1148">
        <v>602.10050000000001</v>
      </c>
      <c r="J1165" s="700" t="s">
        <v>341</v>
      </c>
      <c r="K1165" s="1137"/>
      <c r="L1165" s="1138"/>
      <c r="M1165" s="1138"/>
    </row>
    <row r="1166" spans="1:13">
      <c r="A1166" s="1011"/>
      <c r="B1166" s="1134"/>
      <c r="C1166" s="1135"/>
      <c r="D1166" s="1135"/>
      <c r="E1166" s="1135"/>
      <c r="F1166" s="1135"/>
      <c r="G1166" s="1135"/>
      <c r="H1166" s="1136"/>
      <c r="I1166" s="1148">
        <v>602.10059999999999</v>
      </c>
      <c r="J1166" s="700" t="s">
        <v>342</v>
      </c>
      <c r="K1166" s="1137"/>
      <c r="L1166" s="1138"/>
      <c r="M1166" s="1138"/>
    </row>
    <row r="1167" spans="1:13">
      <c r="A1167" s="1011"/>
      <c r="B1167" s="1134"/>
      <c r="C1167" s="1135"/>
      <c r="D1167" s="1135"/>
      <c r="E1167" s="1135"/>
      <c r="F1167" s="1135"/>
      <c r="G1167" s="1135"/>
      <c r="H1167" s="1136"/>
      <c r="I1167" s="1148">
        <v>602.10069999999996</v>
      </c>
      <c r="J1167" s="700" t="s">
        <v>469</v>
      </c>
      <c r="K1167" s="1137"/>
      <c r="L1167" s="1138"/>
      <c r="M1167" s="1138">
        <v>395000</v>
      </c>
    </row>
    <row r="1168" spans="1:13">
      <c r="A1168" s="1011"/>
      <c r="B1168" s="1134"/>
      <c r="C1168" s="1135"/>
      <c r="D1168" s="1135"/>
      <c r="E1168" s="1135"/>
      <c r="F1168" s="1135"/>
      <c r="G1168" s="1135"/>
      <c r="H1168" s="1136"/>
      <c r="I1168" s="1148">
        <v>602.10080000000005</v>
      </c>
      <c r="J1168" s="700" t="s">
        <v>343</v>
      </c>
      <c r="K1168" s="1137"/>
      <c r="L1168" s="1138"/>
      <c r="M1168" s="1138"/>
    </row>
    <row r="1169" spans="1:17">
      <c r="A1169" s="1011"/>
      <c r="B1169" s="1134"/>
      <c r="C1169" s="1135"/>
      <c r="D1169" s="1135"/>
      <c r="E1169" s="1135"/>
      <c r="F1169" s="1135"/>
      <c r="G1169" s="1135"/>
      <c r="H1169" s="1136"/>
      <c r="I1169" s="1148">
        <v>602.10090000000002</v>
      </c>
      <c r="J1169" s="700" t="s">
        <v>344</v>
      </c>
      <c r="K1169" s="1149"/>
      <c r="L1169" s="1150"/>
      <c r="M1169" s="1150"/>
    </row>
    <row r="1170" spans="1:17">
      <c r="A1170" s="1011"/>
      <c r="B1170" s="1134"/>
      <c r="C1170" s="1135"/>
      <c r="D1170" s="1135"/>
      <c r="E1170" s="1135"/>
      <c r="F1170" s="1135"/>
      <c r="G1170" s="1135"/>
      <c r="H1170" s="1136"/>
      <c r="I1170" s="1148">
        <v>602.101</v>
      </c>
      <c r="J1170" s="700" t="s">
        <v>345</v>
      </c>
      <c r="K1170" s="1149"/>
      <c r="L1170" s="1150"/>
      <c r="M1170" s="1150"/>
    </row>
    <row r="1171" spans="1:17">
      <c r="A1171" s="1011"/>
      <c r="B1171" s="1134"/>
      <c r="C1171" s="1135"/>
      <c r="D1171" s="1135"/>
      <c r="E1171" s="1135"/>
      <c r="F1171" s="1135"/>
      <c r="G1171" s="1135"/>
      <c r="H1171" s="1136"/>
      <c r="I1171" s="1081">
        <v>602.10109999999997</v>
      </c>
      <c r="J1171" s="700" t="s">
        <v>490</v>
      </c>
      <c r="K1171" s="1149"/>
      <c r="L1171" s="1150"/>
      <c r="M1171" s="1150">
        <v>244776</v>
      </c>
    </row>
    <row r="1172" spans="1:17" ht="13.5" thickBot="1">
      <c r="A1172" s="1011"/>
      <c r="B1172" s="1151"/>
      <c r="C1172" s="1152"/>
      <c r="D1172" s="1152"/>
      <c r="E1172" s="1152"/>
      <c r="F1172" s="1152"/>
      <c r="G1172" s="1152"/>
      <c r="H1172" s="1153"/>
      <c r="I1172" s="1154">
        <v>602.10990000000004</v>
      </c>
      <c r="J1172" s="701" t="s">
        <v>468</v>
      </c>
      <c r="K1172" s="1155"/>
      <c r="L1172" s="1156"/>
      <c r="M1172" s="1156">
        <f>143593+N1172</f>
        <v>153593</v>
      </c>
      <c r="N1172" s="136">
        <f>O1172+P1172+Q1172</f>
        <v>10000</v>
      </c>
      <c r="O1172" s="149">
        <v>10000</v>
      </c>
    </row>
    <row r="1173" spans="1:17" ht="13.5" thickBot="1">
      <c r="A1173" s="1011"/>
      <c r="B1173" s="1114"/>
      <c r="C1173" s="1115"/>
      <c r="D1173" s="1115"/>
      <c r="E1173" s="1115"/>
      <c r="F1173" s="1115"/>
      <c r="G1173" s="1115"/>
      <c r="H1173" s="1116"/>
      <c r="I1173" s="1117">
        <v>602.20000000000005</v>
      </c>
      <c r="J1173" s="1118" t="s">
        <v>348</v>
      </c>
      <c r="K1173" s="1145">
        <f>SUM(K1174+K1175+K1176+K1177+K1178+K1179+K1180+K1181+K1182+K1183+K1184+K1185+K1186+K1187)</f>
        <v>0</v>
      </c>
      <c r="L1173" s="1157">
        <f>SUM(L1174+L1175+L1176+L1179+L1180+L1181+L1182+L1183+L1184+L1185+L1186+L1187)</f>
        <v>0</v>
      </c>
      <c r="M1173" s="1157">
        <f>SUM(M1174+M1175+M1176+M1179+M1180+M1181+M1182+M1183+M1184+M1185+M1186+M1187)</f>
        <v>3176408</v>
      </c>
      <c r="N1173" s="136">
        <f t="shared" ref="N1173:N1227" si="0">O1173+P1173+Q1173</f>
        <v>0</v>
      </c>
    </row>
    <row r="1174" spans="1:17">
      <c r="A1174" s="1011"/>
      <c r="B1174" s="1128"/>
      <c r="C1174" s="1129"/>
      <c r="D1174" s="1129"/>
      <c r="E1174" s="1129"/>
      <c r="F1174" s="1129"/>
      <c r="G1174" s="1129"/>
      <c r="H1174" s="1130"/>
      <c r="I1174" s="1131">
        <v>602.20010000000002</v>
      </c>
      <c r="J1174" s="699" t="s">
        <v>192</v>
      </c>
      <c r="K1174" s="1158"/>
      <c r="L1174" s="1159"/>
      <c r="M1174" s="1159">
        <f>839908-7680+N1174</f>
        <v>1018656</v>
      </c>
      <c r="N1174" s="136">
        <f t="shared" si="0"/>
        <v>186428</v>
      </c>
      <c r="O1174" s="149">
        <v>98044</v>
      </c>
      <c r="P1174" s="149">
        <v>88384</v>
      </c>
    </row>
    <row r="1175" spans="1:17">
      <c r="A1175" s="1011"/>
      <c r="B1175" s="1134"/>
      <c r="C1175" s="1135"/>
      <c r="D1175" s="1135"/>
      <c r="E1175" s="1135"/>
      <c r="F1175" s="1135"/>
      <c r="G1175" s="1135"/>
      <c r="H1175" s="1136"/>
      <c r="I1175" s="1081">
        <v>602.2002</v>
      </c>
      <c r="J1175" s="700" t="s">
        <v>349</v>
      </c>
      <c r="K1175" s="1149"/>
      <c r="L1175" s="1150">
        <v>0</v>
      </c>
      <c r="M1175" s="1150">
        <v>0</v>
      </c>
      <c r="N1175" s="136">
        <f t="shared" si="0"/>
        <v>0</v>
      </c>
    </row>
    <row r="1176" spans="1:17">
      <c r="A1176" s="1011"/>
      <c r="B1176" s="1134"/>
      <c r="C1176" s="1135"/>
      <c r="D1176" s="1135"/>
      <c r="E1176" s="1135"/>
      <c r="F1176" s="1135"/>
      <c r="G1176" s="1135"/>
      <c r="H1176" s="1136"/>
      <c r="I1176" s="1081">
        <v>602.20029999999997</v>
      </c>
      <c r="J1176" s="700" t="s">
        <v>350</v>
      </c>
      <c r="K1176" s="1149"/>
      <c r="L1176" s="1160">
        <f>L1177+L1178</f>
        <v>0</v>
      </c>
      <c r="M1176" s="1160">
        <f>M1177+M1178</f>
        <v>547817</v>
      </c>
      <c r="N1176" s="136">
        <f t="shared" si="0"/>
        <v>0</v>
      </c>
    </row>
    <row r="1177" spans="1:17">
      <c r="A1177" s="1011"/>
      <c r="B1177" s="1134"/>
      <c r="C1177" s="1135"/>
      <c r="D1177" s="1135"/>
      <c r="E1177" s="1135"/>
      <c r="F1177" s="1135"/>
      <c r="G1177" s="1135"/>
      <c r="H1177" s="1136"/>
      <c r="I1177" s="1081"/>
      <c r="J1177" s="1161" t="s">
        <v>473</v>
      </c>
      <c r="K1177" s="1149"/>
      <c r="L1177" s="1162"/>
      <c r="M1177" s="1163">
        <f>377713+N1177</f>
        <v>427817</v>
      </c>
      <c r="N1177" s="136">
        <f t="shared" si="0"/>
        <v>50104</v>
      </c>
      <c r="O1177" s="149">
        <v>26099</v>
      </c>
      <c r="P1177" s="149">
        <v>12005</v>
      </c>
      <c r="Q1177" s="149">
        <v>12000</v>
      </c>
    </row>
    <row r="1178" spans="1:17">
      <c r="A1178" s="1011"/>
      <c r="B1178" s="1134"/>
      <c r="C1178" s="1135"/>
      <c r="D1178" s="1135"/>
      <c r="E1178" s="1135"/>
      <c r="F1178" s="1135"/>
      <c r="G1178" s="1135"/>
      <c r="H1178" s="1136"/>
      <c r="I1178" s="1081"/>
      <c r="J1178" s="1164" t="s">
        <v>474</v>
      </c>
      <c r="K1178" s="1149"/>
      <c r="L1178" s="1150"/>
      <c r="M1178" s="1165">
        <v>120000</v>
      </c>
      <c r="N1178" s="136">
        <f t="shared" si="0"/>
        <v>0</v>
      </c>
    </row>
    <row r="1179" spans="1:17">
      <c r="A1179" s="1011"/>
      <c r="B1179" s="1134"/>
      <c r="C1179" s="1135"/>
      <c r="D1179" s="1135"/>
      <c r="E1179" s="1135"/>
      <c r="F1179" s="1135"/>
      <c r="G1179" s="1135"/>
      <c r="H1179" s="1136"/>
      <c r="I1179" s="1081">
        <v>602.20039999999995</v>
      </c>
      <c r="J1179" s="700" t="s">
        <v>351</v>
      </c>
      <c r="K1179" s="1149"/>
      <c r="L1179" s="1166"/>
      <c r="M1179" s="1166">
        <f>289260+N1179</f>
        <v>331890</v>
      </c>
      <c r="N1179" s="136">
        <f t="shared" si="0"/>
        <v>42630</v>
      </c>
      <c r="O1179" s="149">
        <v>42630</v>
      </c>
    </row>
    <row r="1180" spans="1:17">
      <c r="A1180" s="1011"/>
      <c r="B1180" s="1134"/>
      <c r="C1180" s="1135"/>
      <c r="D1180" s="1135"/>
      <c r="E1180" s="1135"/>
      <c r="F1180" s="1135"/>
      <c r="G1180" s="1135"/>
      <c r="H1180" s="1136"/>
      <c r="I1180" s="1081">
        <v>602.20050000000003</v>
      </c>
      <c r="J1180" s="700" t="s">
        <v>352</v>
      </c>
      <c r="K1180" s="1149"/>
      <c r="L1180" s="1150"/>
      <c r="M1180" s="1150"/>
      <c r="N1180" s="136">
        <f t="shared" si="0"/>
        <v>0</v>
      </c>
    </row>
    <row r="1181" spans="1:17">
      <c r="A1181" s="1011"/>
      <c r="B1181" s="1134"/>
      <c r="C1181" s="1135"/>
      <c r="D1181" s="1135"/>
      <c r="E1181" s="1135"/>
      <c r="F1181" s="1135"/>
      <c r="G1181" s="1135"/>
      <c r="H1181" s="1136"/>
      <c r="I1181" s="1081">
        <v>602.20060000000001</v>
      </c>
      <c r="J1181" s="700" t="s">
        <v>353</v>
      </c>
      <c r="K1181" s="1149"/>
      <c r="L1181" s="1150"/>
      <c r="M1181" s="1150"/>
      <c r="N1181" s="136">
        <f t="shared" si="0"/>
        <v>0</v>
      </c>
    </row>
    <row r="1182" spans="1:17">
      <c r="A1182" s="1011"/>
      <c r="B1182" s="1134"/>
      <c r="C1182" s="1135"/>
      <c r="D1182" s="1135"/>
      <c r="E1182" s="1135"/>
      <c r="F1182" s="1135"/>
      <c r="G1182" s="1135"/>
      <c r="H1182" s="1136"/>
      <c r="I1182" s="1081">
        <v>602.20069999999998</v>
      </c>
      <c r="J1182" s="700" t="s">
        <v>354</v>
      </c>
      <c r="K1182" s="1149"/>
      <c r="L1182" s="1167"/>
      <c r="M1182" s="1167">
        <v>300</v>
      </c>
      <c r="N1182" s="136">
        <f t="shared" si="0"/>
        <v>50</v>
      </c>
      <c r="O1182" s="149">
        <v>50</v>
      </c>
    </row>
    <row r="1183" spans="1:17">
      <c r="A1183" s="1011"/>
      <c r="B1183" s="1134"/>
      <c r="C1183" s="1135"/>
      <c r="D1183" s="1135"/>
      <c r="E1183" s="1135"/>
      <c r="F1183" s="1135"/>
      <c r="G1183" s="1135"/>
      <c r="H1183" s="1136"/>
      <c r="I1183" s="1081">
        <v>602.20079999999996</v>
      </c>
      <c r="J1183" s="700" t="s">
        <v>355</v>
      </c>
      <c r="K1183" s="1149"/>
      <c r="L1183" s="1150"/>
      <c r="M1183" s="1150">
        <f>857544+N1183</f>
        <v>999930</v>
      </c>
      <c r="N1183" s="136">
        <f t="shared" si="0"/>
        <v>142386</v>
      </c>
      <c r="O1183" s="149">
        <v>142386</v>
      </c>
    </row>
    <row r="1184" spans="1:17">
      <c r="A1184" s="1011"/>
      <c r="B1184" s="1134"/>
      <c r="C1184" s="1135"/>
      <c r="D1184" s="1135"/>
      <c r="E1184" s="1135"/>
      <c r="F1184" s="1135"/>
      <c r="G1184" s="1135"/>
      <c r="H1184" s="1136"/>
      <c r="I1184" s="1081">
        <v>602.20090000000005</v>
      </c>
      <c r="J1184" s="700" t="s">
        <v>356</v>
      </c>
      <c r="K1184" s="1149"/>
      <c r="L1184" s="1150"/>
      <c r="M1184" s="1150"/>
      <c r="N1184" s="136">
        <f t="shared" si="0"/>
        <v>0</v>
      </c>
    </row>
    <row r="1185" spans="1:17">
      <c r="A1185" s="1011"/>
      <c r="B1185" s="1134"/>
      <c r="C1185" s="1135"/>
      <c r="D1185" s="1135"/>
      <c r="E1185" s="1135"/>
      <c r="F1185" s="1135"/>
      <c r="G1185" s="1135"/>
      <c r="H1185" s="1136"/>
      <c r="I1185" s="1081">
        <v>602.20100000000002</v>
      </c>
      <c r="J1185" s="700" t="s">
        <v>357</v>
      </c>
      <c r="K1185" s="1149"/>
      <c r="L1185" s="1150"/>
      <c r="M1185" s="1150">
        <v>33747</v>
      </c>
      <c r="N1185" s="136">
        <f t="shared" si="0"/>
        <v>0</v>
      </c>
    </row>
    <row r="1186" spans="1:17">
      <c r="A1186" s="1011"/>
      <c r="B1186" s="1134"/>
      <c r="C1186" s="1135"/>
      <c r="D1186" s="1135"/>
      <c r="E1186" s="1135"/>
      <c r="F1186" s="1135"/>
      <c r="G1186" s="1135"/>
      <c r="H1186" s="1136"/>
      <c r="I1186" s="1081">
        <v>602.20110000000102</v>
      </c>
      <c r="J1186" s="700" t="s">
        <v>204</v>
      </c>
      <c r="K1186" s="1149"/>
      <c r="L1186" s="1150"/>
      <c r="M1186" s="1150">
        <v>68400</v>
      </c>
      <c r="N1186" s="136">
        <f t="shared" si="0"/>
        <v>0</v>
      </c>
    </row>
    <row r="1187" spans="1:17" ht="13.5" thickBot="1">
      <c r="A1187" s="1011"/>
      <c r="B1187" s="1139"/>
      <c r="C1187" s="1140"/>
      <c r="D1187" s="1140"/>
      <c r="E1187" s="1140"/>
      <c r="F1187" s="1140"/>
      <c r="G1187" s="1140"/>
      <c r="H1187" s="1141"/>
      <c r="I1187" s="1095">
        <v>602.20989999999995</v>
      </c>
      <c r="J1187" s="1142" t="s">
        <v>531</v>
      </c>
      <c r="K1187" s="1168"/>
      <c r="L1187" s="1156"/>
      <c r="M1187" s="1156">
        <v>175668</v>
      </c>
      <c r="N1187" s="136">
        <f t="shared" si="0"/>
        <v>0</v>
      </c>
    </row>
    <row r="1188" spans="1:17" ht="13.5" thickBot="1">
      <c r="A1188" s="1011"/>
      <c r="B1188" s="1114"/>
      <c r="C1188" s="1115"/>
      <c r="D1188" s="1115"/>
      <c r="E1188" s="1115"/>
      <c r="F1188" s="1115"/>
      <c r="G1188" s="1115"/>
      <c r="H1188" s="1116"/>
      <c r="I1188" s="1117">
        <v>6023</v>
      </c>
      <c r="J1188" s="1118" t="s">
        <v>206</v>
      </c>
      <c r="K1188" s="1145">
        <f>SUM(K1189+K1190+K1191+K1192)</f>
        <v>0</v>
      </c>
      <c r="L1188" s="1120">
        <f>SUM(L1189+L1190+L1191+L1192)</f>
        <v>0</v>
      </c>
      <c r="M1188" s="1120">
        <f>SUM(M1189:M1192)</f>
        <v>1990876</v>
      </c>
      <c r="N1188" s="136">
        <f t="shared" si="0"/>
        <v>0</v>
      </c>
    </row>
    <row r="1189" spans="1:17">
      <c r="A1189" s="1011"/>
      <c r="B1189" s="1128"/>
      <c r="C1189" s="1129"/>
      <c r="D1189" s="1129"/>
      <c r="E1189" s="1129"/>
      <c r="F1189" s="1129"/>
      <c r="G1189" s="1129"/>
      <c r="H1189" s="1130"/>
      <c r="I1189" s="1131">
        <v>602.30999999999995</v>
      </c>
      <c r="J1189" s="699" t="s">
        <v>207</v>
      </c>
      <c r="K1189" s="1158"/>
      <c r="L1189" s="1169"/>
      <c r="M1189" s="1169">
        <f>966930+N1189+188630</f>
        <v>1541452</v>
      </c>
      <c r="N1189" s="136">
        <f t="shared" si="0"/>
        <v>385892</v>
      </c>
      <c r="O1189" s="149">
        <v>185892</v>
      </c>
      <c r="P1189" s="149">
        <v>200000</v>
      </c>
    </row>
    <row r="1190" spans="1:17">
      <c r="A1190" s="1011"/>
      <c r="B1190" s="1134"/>
      <c r="C1190" s="1135"/>
      <c r="D1190" s="1135"/>
      <c r="E1190" s="1135"/>
      <c r="F1190" s="1135"/>
      <c r="G1190" s="1135"/>
      <c r="H1190" s="1136"/>
      <c r="I1190" s="1081">
        <v>602.32000000000005</v>
      </c>
      <c r="J1190" s="700" t="s">
        <v>359</v>
      </c>
      <c r="K1190" s="1149"/>
      <c r="L1190" s="1150"/>
      <c r="M1190" s="1150">
        <v>403640</v>
      </c>
      <c r="N1190" s="136">
        <f t="shared" si="0"/>
        <v>0</v>
      </c>
    </row>
    <row r="1191" spans="1:17">
      <c r="A1191" s="1011"/>
      <c r="B1191" s="1134"/>
      <c r="C1191" s="1135"/>
      <c r="D1191" s="1135"/>
      <c r="E1191" s="1135"/>
      <c r="F1191" s="1135"/>
      <c r="G1191" s="1135"/>
      <c r="H1191" s="1136"/>
      <c r="I1191" s="1081">
        <v>602.33000000000004</v>
      </c>
      <c r="J1191" s="700" t="s">
        <v>360</v>
      </c>
      <c r="K1191" s="1149"/>
      <c r="L1191" s="1150"/>
      <c r="M1191" s="1150">
        <f>12000+33784</f>
        <v>45784</v>
      </c>
      <c r="N1191" s="136">
        <f t="shared" si="0"/>
        <v>33784</v>
      </c>
      <c r="O1191" s="149">
        <v>17754</v>
      </c>
      <c r="P1191" s="149">
        <v>2730</v>
      </c>
      <c r="Q1191" s="149">
        <v>13300</v>
      </c>
    </row>
    <row r="1192" spans="1:17" ht="13.5" thickBot="1">
      <c r="A1192" s="1011"/>
      <c r="B1192" s="1139"/>
      <c r="C1192" s="1140"/>
      <c r="D1192" s="1140"/>
      <c r="E1192" s="1140"/>
      <c r="F1192" s="1140"/>
      <c r="G1192" s="1140"/>
      <c r="H1192" s="1141"/>
      <c r="I1192" s="1095">
        <v>602.39</v>
      </c>
      <c r="J1192" s="1142" t="s">
        <v>361</v>
      </c>
      <c r="K1192" s="1168"/>
      <c r="L1192" s="1170"/>
      <c r="M1192" s="1170"/>
      <c r="N1192" s="136">
        <f t="shared" si="0"/>
        <v>0</v>
      </c>
    </row>
    <row r="1193" spans="1:17" ht="13.5" thickBot="1">
      <c r="A1193" s="1011"/>
      <c r="B1193" s="1114"/>
      <c r="C1193" s="1115"/>
      <c r="D1193" s="1115"/>
      <c r="E1193" s="1115"/>
      <c r="F1193" s="1115"/>
      <c r="G1193" s="1115"/>
      <c r="H1193" s="1116"/>
      <c r="I1193" s="1117">
        <v>602.4</v>
      </c>
      <c r="J1193" s="1118" t="s">
        <v>362</v>
      </c>
      <c r="K1193" s="1145">
        <f>SUM(K1194+K1195)</f>
        <v>0</v>
      </c>
      <c r="L1193" s="1120">
        <f>SUM(L1194+L1195)</f>
        <v>0</v>
      </c>
      <c r="M1193" s="1120">
        <f>SUM(M1194:M1195)</f>
        <v>2935070</v>
      </c>
      <c r="N1193" s="136">
        <f t="shared" si="0"/>
        <v>0</v>
      </c>
    </row>
    <row r="1194" spans="1:17">
      <c r="A1194" s="1011"/>
      <c r="B1194" s="1128"/>
      <c r="C1194" s="1129"/>
      <c r="D1194" s="1129"/>
      <c r="E1194" s="1129"/>
      <c r="F1194" s="1129"/>
      <c r="G1194" s="1129"/>
      <c r="H1194" s="1130"/>
      <c r="I1194" s="1131">
        <v>602.4</v>
      </c>
      <c r="J1194" s="699" t="s">
        <v>363</v>
      </c>
      <c r="K1194" s="1158"/>
      <c r="L1194" s="1171"/>
      <c r="M1194" s="1171">
        <f>2517770+417300</f>
        <v>2935070</v>
      </c>
      <c r="N1194" s="136">
        <f t="shared" si="0"/>
        <v>0</v>
      </c>
    </row>
    <row r="1195" spans="1:17" ht="13.5" thickBot="1">
      <c r="A1195" s="1011"/>
      <c r="B1195" s="1139"/>
      <c r="C1195" s="1140"/>
      <c r="D1195" s="1140"/>
      <c r="E1195" s="1140"/>
      <c r="F1195" s="1140"/>
      <c r="G1195" s="1140"/>
      <c r="H1195" s="1141"/>
      <c r="I1195" s="1095">
        <v>602.41</v>
      </c>
      <c r="J1195" s="1142" t="s">
        <v>364</v>
      </c>
      <c r="K1195" s="1168"/>
      <c r="L1195" s="1156"/>
      <c r="M1195" s="1156"/>
      <c r="N1195" s="136">
        <f t="shared" si="0"/>
        <v>0</v>
      </c>
    </row>
    <row r="1196" spans="1:17" ht="13.5" thickBot="1">
      <c r="A1196" s="1011"/>
      <c r="B1196" s="1114"/>
      <c r="C1196" s="1115"/>
      <c r="D1196" s="1115"/>
      <c r="E1196" s="1115"/>
      <c r="F1196" s="1115"/>
      <c r="G1196" s="1115"/>
      <c r="H1196" s="1116"/>
      <c r="I1196" s="1117">
        <v>602.5</v>
      </c>
      <c r="J1196" s="1118" t="s">
        <v>365</v>
      </c>
      <c r="K1196" s="1145">
        <f>SUM(K1197+K1198+K1199+K1200+K1201+K1202+K1203+K1204)</f>
        <v>0</v>
      </c>
      <c r="L1196" s="1146">
        <f>SUM(L1197+L1198+L1199+L1200+L1201+L1202+L1203+L1204)</f>
        <v>0</v>
      </c>
      <c r="M1196" s="1146">
        <f>SUM(M1197:M1204)</f>
        <v>729040</v>
      </c>
      <c r="N1196" s="136">
        <f t="shared" si="0"/>
        <v>0</v>
      </c>
    </row>
    <row r="1197" spans="1:17">
      <c r="A1197" s="1011"/>
      <c r="B1197" s="1128"/>
      <c r="C1197" s="1129"/>
      <c r="D1197" s="1129"/>
      <c r="E1197" s="1129"/>
      <c r="F1197" s="1129"/>
      <c r="G1197" s="1129"/>
      <c r="H1197" s="1130"/>
      <c r="I1197" s="1131">
        <v>602.5</v>
      </c>
      <c r="J1197" s="699" t="s">
        <v>366</v>
      </c>
      <c r="K1197" s="1172"/>
      <c r="L1197" s="1173"/>
      <c r="M1197" s="1173"/>
      <c r="N1197" s="136">
        <f t="shared" si="0"/>
        <v>0</v>
      </c>
    </row>
    <row r="1198" spans="1:17">
      <c r="A1198" s="1011"/>
      <c r="B1198" s="1134"/>
      <c r="C1198" s="1135"/>
      <c r="D1198" s="1135"/>
      <c r="E1198" s="1135"/>
      <c r="F1198" s="1135"/>
      <c r="G1198" s="1135"/>
      <c r="H1198" s="1136"/>
      <c r="I1198" s="1081">
        <v>602.51</v>
      </c>
      <c r="J1198" s="700" t="s">
        <v>367</v>
      </c>
      <c r="K1198" s="1174"/>
      <c r="L1198" s="1175"/>
      <c r="M1198" s="1175"/>
      <c r="N1198" s="136">
        <f t="shared" si="0"/>
        <v>0</v>
      </c>
    </row>
    <row r="1199" spans="1:17">
      <c r="A1199" s="1011"/>
      <c r="B1199" s="1134"/>
      <c r="C1199" s="1135"/>
      <c r="D1199" s="1135"/>
      <c r="E1199" s="1135"/>
      <c r="F1199" s="1135"/>
      <c r="G1199" s="1135"/>
      <c r="H1199" s="1136"/>
      <c r="I1199" s="1081">
        <v>602.52</v>
      </c>
      <c r="J1199" s="700" t="s">
        <v>532</v>
      </c>
      <c r="K1199" s="1174"/>
      <c r="L1199" s="1175"/>
      <c r="M1199" s="1175">
        <f>466888+105100-175668</f>
        <v>396320</v>
      </c>
      <c r="N1199" s="136">
        <f t="shared" si="0"/>
        <v>0</v>
      </c>
    </row>
    <row r="1200" spans="1:17" ht="13.5" thickBot="1">
      <c r="A1200" s="1011"/>
      <c r="B1200" s="1151"/>
      <c r="C1200" s="1152"/>
      <c r="D1200" s="1152"/>
      <c r="E1200" s="1152"/>
      <c r="F1200" s="1152"/>
      <c r="G1200" s="1152"/>
      <c r="H1200" s="1153"/>
      <c r="I1200" s="1154">
        <v>602.53</v>
      </c>
      <c r="J1200" s="701" t="s">
        <v>369</v>
      </c>
      <c r="K1200" s="1176"/>
      <c r="L1200" s="1177"/>
      <c r="M1200" s="1177"/>
      <c r="N1200" s="136">
        <f t="shared" si="0"/>
        <v>0</v>
      </c>
    </row>
    <row r="1201" spans="1:14">
      <c r="A1201" s="1011"/>
      <c r="B1201" s="1121"/>
      <c r="C1201" s="1122"/>
      <c r="D1201" s="1122"/>
      <c r="E1201" s="1122"/>
      <c r="F1201" s="1122"/>
      <c r="G1201" s="1122"/>
      <c r="H1201" s="1123"/>
      <c r="I1201" s="1124">
        <v>602.54</v>
      </c>
      <c r="J1201" s="1125" t="s">
        <v>405</v>
      </c>
      <c r="K1201" s="1178"/>
      <c r="L1201" s="1127"/>
      <c r="M1201" s="1127"/>
      <c r="N1201" s="136">
        <f t="shared" si="0"/>
        <v>0</v>
      </c>
    </row>
    <row r="1202" spans="1:14">
      <c r="A1202" s="1011"/>
      <c r="B1202" s="1134"/>
      <c r="C1202" s="1135"/>
      <c r="D1202" s="1135"/>
      <c r="E1202" s="1135"/>
      <c r="F1202" s="1135"/>
      <c r="G1202" s="1135"/>
      <c r="H1202" s="1136"/>
      <c r="I1202" s="1081">
        <v>602.54999999999995</v>
      </c>
      <c r="J1202" s="700" t="s">
        <v>370</v>
      </c>
      <c r="K1202" s="1174"/>
      <c r="L1202" s="1179"/>
      <c r="M1202" s="1179"/>
      <c r="N1202" s="136">
        <f t="shared" si="0"/>
        <v>0</v>
      </c>
    </row>
    <row r="1203" spans="1:14">
      <c r="A1203" s="1011"/>
      <c r="B1203" s="1134"/>
      <c r="C1203" s="1135"/>
      <c r="D1203" s="1135"/>
      <c r="E1203" s="1135"/>
      <c r="F1203" s="1135"/>
      <c r="G1203" s="1135"/>
      <c r="H1203" s="1136"/>
      <c r="I1203" s="1081">
        <v>602.55999999999995</v>
      </c>
      <c r="J1203" s="700" t="s">
        <v>371</v>
      </c>
      <c r="K1203" s="1174"/>
      <c r="L1203" s="1175"/>
      <c r="M1203" s="1175"/>
      <c r="N1203" s="136">
        <f t="shared" si="0"/>
        <v>0</v>
      </c>
    </row>
    <row r="1204" spans="1:14" ht="13.5" thickBot="1">
      <c r="A1204" s="1011"/>
      <c r="B1204" s="1139"/>
      <c r="C1204" s="1140"/>
      <c r="D1204" s="1140"/>
      <c r="E1204" s="1140"/>
      <c r="F1204" s="1140"/>
      <c r="G1204" s="1140"/>
      <c r="H1204" s="1141"/>
      <c r="I1204" s="1095">
        <v>602.58000000000004</v>
      </c>
      <c r="J1204" s="1142" t="s">
        <v>533</v>
      </c>
      <c r="K1204" s="1180"/>
      <c r="L1204" s="1181"/>
      <c r="M1204" s="1181">
        <f>194950+137770</f>
        <v>332720</v>
      </c>
      <c r="N1204" s="136">
        <f t="shared" si="0"/>
        <v>0</v>
      </c>
    </row>
    <row r="1205" spans="1:14" ht="13.5" thickBot="1">
      <c r="A1205" s="1011"/>
      <c r="B1205" s="1114"/>
      <c r="C1205" s="1115"/>
      <c r="D1205" s="1115"/>
      <c r="E1205" s="1115"/>
      <c r="F1205" s="1115"/>
      <c r="G1205" s="1115"/>
      <c r="H1205" s="1116"/>
      <c r="I1205" s="1117">
        <v>602.6</v>
      </c>
      <c r="J1205" s="1118" t="s">
        <v>373</v>
      </c>
      <c r="K1205" s="1182">
        <f>SUM(K1206+K1207+K1208+K1209+K1210)</f>
        <v>0</v>
      </c>
      <c r="L1205" s="1183">
        <f>SUM(L1206+L1207+L1208+L1209+L1210)</f>
        <v>0</v>
      </c>
      <c r="M1205" s="1183">
        <f>SUM(M1206+M1207+M1208+M1209+M1210)</f>
        <v>30000</v>
      </c>
      <c r="N1205" s="136">
        <f t="shared" si="0"/>
        <v>0</v>
      </c>
    </row>
    <row r="1206" spans="1:14">
      <c r="A1206" s="1011"/>
      <c r="B1206" s="1128"/>
      <c r="C1206" s="1129"/>
      <c r="D1206" s="1129"/>
      <c r="E1206" s="1129"/>
      <c r="F1206" s="1129"/>
      <c r="G1206" s="1129"/>
      <c r="H1206" s="1130"/>
      <c r="I1206" s="1131">
        <v>602.61</v>
      </c>
      <c r="J1206" s="699" t="s">
        <v>374</v>
      </c>
      <c r="K1206" s="1172"/>
      <c r="L1206" s="1173"/>
      <c r="M1206" s="1173">
        <v>30000</v>
      </c>
      <c r="N1206" s="136">
        <f t="shared" si="0"/>
        <v>0</v>
      </c>
    </row>
    <row r="1207" spans="1:14">
      <c r="A1207" s="1011"/>
      <c r="B1207" s="1134"/>
      <c r="C1207" s="1135"/>
      <c r="D1207" s="1135"/>
      <c r="E1207" s="1135"/>
      <c r="F1207" s="1135"/>
      <c r="G1207" s="1135"/>
      <c r="H1207" s="1136"/>
      <c r="I1207" s="1081">
        <v>602.62</v>
      </c>
      <c r="J1207" s="700" t="s">
        <v>375</v>
      </c>
      <c r="K1207" s="1174"/>
      <c r="L1207" s="1175"/>
      <c r="M1207" s="1175"/>
      <c r="N1207" s="136">
        <f t="shared" si="0"/>
        <v>0</v>
      </c>
    </row>
    <row r="1208" spans="1:14">
      <c r="A1208" s="1011"/>
      <c r="B1208" s="1134"/>
      <c r="C1208" s="1135"/>
      <c r="D1208" s="1135"/>
      <c r="E1208" s="1135"/>
      <c r="F1208" s="1135"/>
      <c r="G1208" s="1135"/>
      <c r="H1208" s="1136"/>
      <c r="I1208" s="1081">
        <v>602.63</v>
      </c>
      <c r="J1208" s="700" t="s">
        <v>376</v>
      </c>
      <c r="K1208" s="1174"/>
      <c r="L1208" s="1175"/>
      <c r="M1208" s="1175"/>
      <c r="N1208" s="136">
        <f t="shared" si="0"/>
        <v>0</v>
      </c>
    </row>
    <row r="1209" spans="1:14">
      <c r="A1209" s="1011"/>
      <c r="B1209" s="1134"/>
      <c r="C1209" s="1135"/>
      <c r="D1209" s="1135"/>
      <c r="E1209" s="1135"/>
      <c r="F1209" s="1135"/>
      <c r="G1209" s="1135"/>
      <c r="H1209" s="1136"/>
      <c r="I1209" s="1081">
        <v>602.64</v>
      </c>
      <c r="J1209" s="700" t="s">
        <v>377</v>
      </c>
      <c r="K1209" s="1174"/>
      <c r="L1209" s="1175"/>
      <c r="M1209" s="1175"/>
      <c r="N1209" s="136">
        <f t="shared" si="0"/>
        <v>0</v>
      </c>
    </row>
    <row r="1210" spans="1:14" ht="13.5" thickBot="1">
      <c r="A1210" s="1011"/>
      <c r="B1210" s="1139"/>
      <c r="C1210" s="1140"/>
      <c r="D1210" s="1140"/>
      <c r="E1210" s="1140"/>
      <c r="F1210" s="1140"/>
      <c r="G1210" s="1140"/>
      <c r="H1210" s="1141"/>
      <c r="I1210" s="1095">
        <v>602.69000000000005</v>
      </c>
      <c r="J1210" s="1142" t="s">
        <v>378</v>
      </c>
      <c r="K1210" s="1180"/>
      <c r="L1210" s="1184"/>
      <c r="M1210" s="1184"/>
      <c r="N1210" s="136">
        <f t="shared" si="0"/>
        <v>0</v>
      </c>
    </row>
    <row r="1211" spans="1:14" ht="13.5" thickBot="1">
      <c r="A1211" s="1011"/>
      <c r="B1211" s="1114"/>
      <c r="C1211" s="1115"/>
      <c r="D1211" s="1115"/>
      <c r="E1211" s="1115"/>
      <c r="F1211" s="1115"/>
      <c r="G1211" s="1115"/>
      <c r="H1211" s="1116"/>
      <c r="I1211" s="1185">
        <v>602.70000000000005</v>
      </c>
      <c r="J1211" s="1118" t="s">
        <v>379</v>
      </c>
      <c r="K1211" s="1182">
        <f>SUM(K1212+K1213+K1214+K1215+K1216+K1217)</f>
        <v>0</v>
      </c>
      <c r="L1211" s="1183">
        <f>SUM(L1212+L1213+L1214+L1215+L1216+L1217)</f>
        <v>0</v>
      </c>
      <c r="M1211" s="1183">
        <f>SUM(M1212:M1217)</f>
        <v>8638416</v>
      </c>
      <c r="N1211" s="136">
        <f t="shared" si="0"/>
        <v>0</v>
      </c>
    </row>
    <row r="1212" spans="1:14">
      <c r="A1212" s="1011"/>
      <c r="B1212" s="1128"/>
      <c r="C1212" s="1129"/>
      <c r="D1212" s="1129"/>
      <c r="E1212" s="1129"/>
      <c r="F1212" s="1129"/>
      <c r="G1212" s="1129"/>
      <c r="H1212" s="1130"/>
      <c r="I1212" s="1131">
        <v>602.71</v>
      </c>
      <c r="J1212" s="699" t="s">
        <v>380</v>
      </c>
      <c r="K1212" s="1172"/>
      <c r="L1212" s="1173"/>
      <c r="M1212" s="1173"/>
      <c r="N1212" s="136">
        <f t="shared" si="0"/>
        <v>0</v>
      </c>
    </row>
    <row r="1213" spans="1:14">
      <c r="A1213" s="1011"/>
      <c r="B1213" s="1134"/>
      <c r="C1213" s="1135"/>
      <c r="D1213" s="1135"/>
      <c r="E1213" s="1135"/>
      <c r="F1213" s="1135"/>
      <c r="G1213" s="1135"/>
      <c r="H1213" s="1136"/>
      <c r="I1213" s="1081">
        <v>602.72</v>
      </c>
      <c r="J1213" s="700" t="s">
        <v>381</v>
      </c>
      <c r="K1213" s="1174"/>
      <c r="L1213" s="1175"/>
      <c r="M1213" s="1175"/>
      <c r="N1213" s="136">
        <f t="shared" si="0"/>
        <v>0</v>
      </c>
    </row>
    <row r="1214" spans="1:14">
      <c r="A1214" s="1011"/>
      <c r="B1214" s="1134"/>
      <c r="C1214" s="1135"/>
      <c r="D1214" s="1135"/>
      <c r="E1214" s="1135"/>
      <c r="F1214" s="1135"/>
      <c r="G1214" s="1135"/>
      <c r="H1214" s="1136"/>
      <c r="I1214" s="1081">
        <v>602.73</v>
      </c>
      <c r="J1214" s="700" t="s">
        <v>382</v>
      </c>
      <c r="K1214" s="1174"/>
      <c r="L1214" s="1175"/>
      <c r="M1214" s="1175"/>
      <c r="N1214" s="136">
        <f t="shared" si="0"/>
        <v>0</v>
      </c>
    </row>
    <row r="1215" spans="1:14">
      <c r="A1215" s="1011"/>
      <c r="B1215" s="1134"/>
      <c r="C1215" s="1135"/>
      <c r="D1215" s="1135"/>
      <c r="E1215" s="1135"/>
      <c r="F1215" s="1135"/>
      <c r="G1215" s="1135"/>
      <c r="H1215" s="1136"/>
      <c r="I1215" s="1081">
        <v>602.74</v>
      </c>
      <c r="J1215" s="700" t="s">
        <v>383</v>
      </c>
      <c r="K1215" s="1174"/>
      <c r="L1215" s="1138"/>
      <c r="M1215" s="1138">
        <f>2810000+159000+150000</f>
        <v>3119000</v>
      </c>
      <c r="N1215" s="136">
        <f t="shared" si="0"/>
        <v>0</v>
      </c>
    </row>
    <row r="1216" spans="1:14">
      <c r="A1216" s="1011"/>
      <c r="B1216" s="1134"/>
      <c r="C1216" s="1135"/>
      <c r="D1216" s="1135"/>
      <c r="E1216" s="1135"/>
      <c r="F1216" s="1135"/>
      <c r="G1216" s="1135"/>
      <c r="H1216" s="1136"/>
      <c r="I1216" s="1081">
        <v>602.75</v>
      </c>
      <c r="J1216" s="700" t="s">
        <v>509</v>
      </c>
      <c r="K1216" s="1174"/>
      <c r="L1216" s="1175"/>
      <c r="M1216" s="1175">
        <v>5519416</v>
      </c>
      <c r="N1216" s="136">
        <f t="shared" si="0"/>
        <v>0</v>
      </c>
    </row>
    <row r="1217" spans="1:14" ht="13.5" thickBot="1">
      <c r="A1217" s="1011"/>
      <c r="B1217" s="1139"/>
      <c r="C1217" s="1140"/>
      <c r="D1217" s="1140"/>
      <c r="E1217" s="1140"/>
      <c r="F1217" s="1140"/>
      <c r="G1217" s="1140"/>
      <c r="H1217" s="1141"/>
      <c r="I1217" s="1095">
        <v>602.79</v>
      </c>
      <c r="J1217" s="1142" t="s">
        <v>385</v>
      </c>
      <c r="K1217" s="1180"/>
      <c r="L1217" s="1184"/>
      <c r="M1217" s="1184"/>
      <c r="N1217" s="136">
        <f t="shared" si="0"/>
        <v>0</v>
      </c>
    </row>
    <row r="1218" spans="1:14" ht="13.5" thickBot="1">
      <c r="A1218" s="1011"/>
      <c r="B1218" s="1114"/>
      <c r="C1218" s="1115"/>
      <c r="D1218" s="1115"/>
      <c r="E1218" s="1115"/>
      <c r="F1218" s="1115"/>
      <c r="G1218" s="1115"/>
      <c r="H1218" s="1116"/>
      <c r="I1218" s="1185">
        <v>602.79999999999995</v>
      </c>
      <c r="J1218" s="1118" t="s">
        <v>386</v>
      </c>
      <c r="K1218" s="1182">
        <f>SUM(K1219+K1220)</f>
        <v>0</v>
      </c>
      <c r="L1218" s="1183">
        <f>SUM(L1219+L1220)</f>
        <v>0</v>
      </c>
      <c r="M1218" s="1183">
        <f>SUM(M1219+M1220)</f>
        <v>0</v>
      </c>
      <c r="N1218" s="136">
        <f t="shared" si="0"/>
        <v>0</v>
      </c>
    </row>
    <row r="1219" spans="1:14">
      <c r="A1219" s="1011"/>
      <c r="B1219" s="1128"/>
      <c r="C1219" s="1129"/>
      <c r="D1219" s="1129"/>
      <c r="E1219" s="1129"/>
      <c r="F1219" s="1129"/>
      <c r="G1219" s="1129"/>
      <c r="H1219" s="1130"/>
      <c r="I1219" s="1131">
        <v>602.80999999999995</v>
      </c>
      <c r="J1219" s="699" t="s">
        <v>387</v>
      </c>
      <c r="K1219" s="1132"/>
      <c r="L1219" s="1133"/>
      <c r="M1219" s="1133"/>
      <c r="N1219" s="136">
        <f t="shared" si="0"/>
        <v>0</v>
      </c>
    </row>
    <row r="1220" spans="1:14" ht="13.5" thickBot="1">
      <c r="A1220" s="1011"/>
      <c r="B1220" s="1139"/>
      <c r="C1220" s="1140"/>
      <c r="D1220" s="1140"/>
      <c r="E1220" s="1140"/>
      <c r="F1220" s="1140"/>
      <c r="G1220" s="1140"/>
      <c r="H1220" s="1141"/>
      <c r="I1220" s="1095">
        <v>602.82000000000005</v>
      </c>
      <c r="J1220" s="1142" t="s">
        <v>388</v>
      </c>
      <c r="K1220" s="1143"/>
      <c r="L1220" s="1144"/>
      <c r="M1220" s="1144"/>
      <c r="N1220" s="136">
        <f t="shared" si="0"/>
        <v>0</v>
      </c>
    </row>
    <row r="1221" spans="1:14" ht="13.5" thickBot="1">
      <c r="A1221" s="1011"/>
      <c r="B1221" s="1114"/>
      <c r="C1221" s="1115"/>
      <c r="D1221" s="1115"/>
      <c r="E1221" s="1115"/>
      <c r="F1221" s="1115"/>
      <c r="G1221" s="1115"/>
      <c r="H1221" s="1116"/>
      <c r="I1221" s="1117">
        <v>602.9</v>
      </c>
      <c r="J1221" s="1118" t="s">
        <v>389</v>
      </c>
      <c r="K1221" s="1182">
        <f>SUM(K1222+K1223+K1224+K1225+K1226+K1227+K1228+K1229+K1230)</f>
        <v>0</v>
      </c>
      <c r="L1221" s="1183">
        <f>SUM(L1222+L1223+L1224+L1225+L1226+L1227+L1228+L1229+L1230)</f>
        <v>0</v>
      </c>
      <c r="M1221" s="1183">
        <f>SUM(M1222+M1223+M1224+M1225+M1226+M1227+M1228+M1229+M1230)</f>
        <v>377500</v>
      </c>
      <c r="N1221" s="136">
        <f t="shared" si="0"/>
        <v>0</v>
      </c>
    </row>
    <row r="1222" spans="1:14">
      <c r="A1222" s="1011"/>
      <c r="B1222" s="1121"/>
      <c r="C1222" s="1122"/>
      <c r="D1222" s="1122"/>
      <c r="E1222" s="1122"/>
      <c r="F1222" s="1122"/>
      <c r="G1222" s="1122"/>
      <c r="H1222" s="1123"/>
      <c r="I1222" s="1124">
        <v>602.90009999999995</v>
      </c>
      <c r="J1222" s="1125" t="s">
        <v>390</v>
      </c>
      <c r="K1222" s="1186"/>
      <c r="L1222" s="1187"/>
      <c r="M1222" s="1187"/>
      <c r="N1222" s="136">
        <f t="shared" si="0"/>
        <v>0</v>
      </c>
    </row>
    <row r="1223" spans="1:14">
      <c r="A1223" s="1011"/>
      <c r="B1223" s="1134"/>
      <c r="C1223" s="1135"/>
      <c r="D1223" s="1135"/>
      <c r="E1223" s="1135"/>
      <c r="F1223" s="1135"/>
      <c r="G1223" s="1135"/>
      <c r="H1223" s="1136"/>
      <c r="I1223" s="1081">
        <v>602.90020000000004</v>
      </c>
      <c r="J1223" s="700" t="s">
        <v>392</v>
      </c>
      <c r="K1223" s="1149"/>
      <c r="L1223" s="1150"/>
      <c r="M1223" s="1150"/>
      <c r="N1223" s="136">
        <f t="shared" si="0"/>
        <v>0</v>
      </c>
    </row>
    <row r="1224" spans="1:14">
      <c r="A1224" s="1011"/>
      <c r="B1224" s="1134"/>
      <c r="C1224" s="1135"/>
      <c r="D1224" s="1135"/>
      <c r="E1224" s="1135"/>
      <c r="F1224" s="1135"/>
      <c r="G1224" s="1135"/>
      <c r="H1224" s="1136"/>
      <c r="I1224" s="1081">
        <v>602.90030000000002</v>
      </c>
      <c r="J1224" s="700" t="s">
        <v>391</v>
      </c>
      <c r="K1224" s="1149"/>
      <c r="L1224" s="1150"/>
      <c r="M1224" s="1150">
        <v>12000</v>
      </c>
      <c r="N1224" s="136">
        <f t="shared" si="0"/>
        <v>0</v>
      </c>
    </row>
    <row r="1225" spans="1:14">
      <c r="A1225" s="1011"/>
      <c r="B1225" s="1134"/>
      <c r="C1225" s="1135"/>
      <c r="D1225" s="1135"/>
      <c r="E1225" s="1135"/>
      <c r="F1225" s="1135"/>
      <c r="G1225" s="1135"/>
      <c r="H1225" s="1136"/>
      <c r="I1225" s="1081">
        <v>602.90039999999999</v>
      </c>
      <c r="J1225" s="700" t="s">
        <v>393</v>
      </c>
      <c r="K1225" s="1149"/>
      <c r="L1225" s="1150"/>
      <c r="M1225" s="1150"/>
      <c r="N1225" s="136">
        <f t="shared" si="0"/>
        <v>0</v>
      </c>
    </row>
    <row r="1226" spans="1:14">
      <c r="A1226" s="1011"/>
      <c r="B1226" s="1134"/>
      <c r="C1226" s="1135"/>
      <c r="D1226" s="1135"/>
      <c r="E1226" s="1135"/>
      <c r="F1226" s="1135"/>
      <c r="G1226" s="1135"/>
      <c r="H1226" s="1136"/>
      <c r="I1226" s="1081">
        <v>602.90049999999997</v>
      </c>
      <c r="J1226" s="700" t="s">
        <v>394</v>
      </c>
      <c r="K1226" s="1149"/>
      <c r="L1226" s="1150"/>
      <c r="M1226" s="1150">
        <f>344500+21000</f>
        <v>365500</v>
      </c>
      <c r="N1226" s="136">
        <f t="shared" si="0"/>
        <v>0</v>
      </c>
    </row>
    <row r="1227" spans="1:14">
      <c r="A1227" s="1011"/>
      <c r="B1227" s="1134"/>
      <c r="C1227" s="1135"/>
      <c r="D1227" s="1135"/>
      <c r="E1227" s="1135"/>
      <c r="F1227" s="1135"/>
      <c r="G1227" s="1135"/>
      <c r="H1227" s="1136"/>
      <c r="I1227" s="1081">
        <v>602.90060000000005</v>
      </c>
      <c r="J1227" s="700" t="s">
        <v>395</v>
      </c>
      <c r="K1227" s="1149"/>
      <c r="L1227" s="1150"/>
      <c r="M1227" s="1150"/>
      <c r="N1227" s="136">
        <f t="shared" si="0"/>
        <v>0</v>
      </c>
    </row>
    <row r="1228" spans="1:14">
      <c r="A1228" s="1011"/>
      <c r="B1228" s="1134"/>
      <c r="C1228" s="1135"/>
      <c r="D1228" s="1135"/>
      <c r="E1228" s="1135"/>
      <c r="F1228" s="1135"/>
      <c r="G1228" s="1135"/>
      <c r="H1228" s="1136"/>
      <c r="I1228" s="1081">
        <v>602.90070000000003</v>
      </c>
      <c r="J1228" s="700" t="s">
        <v>396</v>
      </c>
      <c r="K1228" s="1137"/>
      <c r="L1228" s="1138"/>
      <c r="M1228" s="1138"/>
    </row>
    <row r="1229" spans="1:14">
      <c r="A1229" s="1011"/>
      <c r="B1229" s="1134"/>
      <c r="C1229" s="1135"/>
      <c r="D1229" s="1135"/>
      <c r="E1229" s="1135"/>
      <c r="F1229" s="1135"/>
      <c r="G1229" s="1135"/>
      <c r="H1229" s="1136"/>
      <c r="I1229" s="1081">
        <v>602.90080000000103</v>
      </c>
      <c r="J1229" s="700" t="s">
        <v>397</v>
      </c>
      <c r="K1229" s="1149"/>
      <c r="L1229" s="1150"/>
      <c r="M1229" s="1150"/>
    </row>
    <row r="1230" spans="1:14" ht="13.5" thickBot="1">
      <c r="A1230" s="1011"/>
      <c r="B1230" s="1139"/>
      <c r="C1230" s="1140"/>
      <c r="D1230" s="1140"/>
      <c r="E1230" s="1140"/>
      <c r="F1230" s="1140"/>
      <c r="G1230" s="1140"/>
      <c r="H1230" s="1141"/>
      <c r="I1230" s="1095">
        <v>602.900900000001</v>
      </c>
      <c r="J1230" s="1142" t="s">
        <v>398</v>
      </c>
      <c r="K1230" s="1168"/>
      <c r="L1230" s="1188"/>
      <c r="M1230" s="1188"/>
    </row>
    <row r="1231" spans="1:14" ht="13.5" thickBot="1">
      <c r="A1231" s="1011"/>
      <c r="B1231" s="1189"/>
      <c r="C1231" s="1190"/>
      <c r="D1231" s="1190"/>
      <c r="E1231" s="1190"/>
      <c r="F1231" s="1190"/>
      <c r="G1231" s="1191"/>
      <c r="H1231" s="1192">
        <v>606</v>
      </c>
      <c r="I1231" s="1193">
        <v>606.91</v>
      </c>
      <c r="J1231" s="1194" t="s">
        <v>406</v>
      </c>
      <c r="K1231" s="1195"/>
      <c r="L1231" s="1196"/>
      <c r="M1231" s="1196"/>
    </row>
    <row r="1232" spans="1:14" ht="15.75" thickBot="1">
      <c r="A1232" s="1011"/>
      <c r="B1232" s="1197"/>
      <c r="C1232" s="1198"/>
      <c r="D1232" s="1198"/>
      <c r="E1232" s="1199">
        <v>6</v>
      </c>
      <c r="F1232" s="1198"/>
      <c r="G1232" s="1200">
        <v>10430</v>
      </c>
      <c r="H1232" s="1201">
        <v>231</v>
      </c>
      <c r="I1232" s="1202"/>
      <c r="J1232" s="1203" t="s">
        <v>435</v>
      </c>
      <c r="K1232" s="1204"/>
      <c r="L1232" s="1204"/>
      <c r="M1232" s="1204"/>
    </row>
    <row r="1233" spans="1:14" ht="15">
      <c r="A1233" s="1011"/>
      <c r="B1233" s="10"/>
      <c r="C1233" s="1011" t="s">
        <v>534</v>
      </c>
      <c r="D1233" s="1011"/>
      <c r="E1233" s="1011"/>
      <c r="F1233" s="1011"/>
      <c r="G1233" s="1011"/>
      <c r="H1233" s="1011"/>
      <c r="I1233" s="1011"/>
      <c r="J1233" s="1205"/>
      <c r="K1233" s="1206"/>
      <c r="L1233" s="1207"/>
      <c r="M1233" s="1207"/>
      <c r="N1233" s="136">
        <f>SUM(N1172:N1232)</f>
        <v>851274</v>
      </c>
    </row>
    <row r="1234" spans="1:14" ht="15">
      <c r="A1234" s="1011"/>
      <c r="B1234" s="10"/>
      <c r="C1234" s="1011" t="s">
        <v>433</v>
      </c>
      <c r="D1234" s="1011"/>
      <c r="E1234" s="1011"/>
      <c r="F1234" s="1011"/>
      <c r="G1234" s="1011"/>
      <c r="H1234" s="1011"/>
      <c r="I1234" s="1011"/>
      <c r="J1234" s="1205"/>
      <c r="K1234" s="1216" t="s">
        <v>536</v>
      </c>
      <c r="L1234" s="1217"/>
      <c r="M1234" s="1208"/>
    </row>
    <row r="1235" spans="1:14" ht="15">
      <c r="A1235" s="1011"/>
      <c r="B1235" s="10"/>
      <c r="C1235" s="1011"/>
      <c r="D1235" s="1010" t="s">
        <v>402</v>
      </c>
      <c r="E1235" s="1010"/>
      <c r="F1235" s="1010"/>
      <c r="G1235" s="1010"/>
      <c r="H1235" s="1011"/>
      <c r="I1235" s="12"/>
      <c r="J1235" s="1209"/>
      <c r="M1235" s="1207"/>
    </row>
    <row r="1236" spans="1:14">
      <c r="A1236" s="1011"/>
      <c r="B1236" s="10"/>
      <c r="C1236" s="1011"/>
      <c r="D1236" s="1210" t="s">
        <v>439</v>
      </c>
      <c r="E1236" s="1010"/>
      <c r="F1236" s="1010"/>
      <c r="G1236" s="1010"/>
      <c r="H1236" s="1010"/>
      <c r="I1236" s="1010"/>
      <c r="J1236" s="1211"/>
      <c r="K1236" s="1214" t="s">
        <v>535</v>
      </c>
      <c r="L1236" s="1215"/>
      <c r="M1236" s="1212"/>
    </row>
    <row r="1238" spans="1:14" ht="20.25" customHeight="1"/>
    <row r="1241" spans="1:14">
      <c r="A1241" s="163"/>
      <c r="B1241" s="163"/>
      <c r="C1241" s="163"/>
      <c r="D1241" s="71"/>
      <c r="E1241" s="383"/>
      <c r="F1241" s="383"/>
      <c r="G1241" s="383"/>
      <c r="H1241" s="383"/>
      <c r="I1241" s="383"/>
      <c r="J1241" s="383"/>
      <c r="K1241" s="398"/>
      <c r="L1241" s="489"/>
      <c r="M1241" s="489"/>
    </row>
    <row r="1242" spans="1:14" ht="15">
      <c r="A1242" s="163"/>
      <c r="B1242" s="163"/>
      <c r="C1242" s="210"/>
      <c r="D1242" s="210"/>
      <c r="E1242" s="210"/>
      <c r="F1242" s="210"/>
      <c r="G1242" s="210"/>
      <c r="H1242" s="210"/>
      <c r="I1242" s="213"/>
      <c r="J1242" s="681"/>
      <c r="K1242" s="215"/>
      <c r="L1242" s="210"/>
      <c r="M1242" s="210"/>
    </row>
    <row r="1243" spans="1:14">
      <c r="A1243" s="163"/>
      <c r="B1243" s="163"/>
      <c r="C1243" s="210"/>
      <c r="D1243" s="210"/>
      <c r="E1243" s="210"/>
      <c r="F1243" s="210"/>
      <c r="G1243" s="210"/>
      <c r="H1243" s="211"/>
      <c r="I1243" s="211"/>
      <c r="J1243" s="211"/>
      <c r="K1243" s="211"/>
      <c r="L1243" s="212"/>
      <c r="M1243" s="212"/>
    </row>
    <row r="1244" spans="1:14">
      <c r="B1244" s="163"/>
      <c r="C1244" s="210"/>
      <c r="D1244" s="210"/>
      <c r="E1244" s="210"/>
      <c r="F1244" s="210"/>
      <c r="G1244" s="210"/>
      <c r="H1244" s="210"/>
      <c r="I1244" s="830"/>
      <c r="J1244" s="845"/>
      <c r="K1244" s="830"/>
      <c r="L1244" s="835"/>
      <c r="M1244" s="835"/>
    </row>
    <row r="1245" spans="1:14" ht="15">
      <c r="B1245" s="216"/>
      <c r="C1245" s="217"/>
      <c r="D1245" s="217"/>
      <c r="E1245" s="218"/>
      <c r="F1245" s="218"/>
      <c r="G1245" s="218"/>
      <c r="H1245" s="218"/>
      <c r="I1245" s="911"/>
      <c r="J1245" s="911"/>
      <c r="K1245" s="912"/>
      <c r="L1245" s="913"/>
      <c r="M1245" s="913"/>
    </row>
    <row r="1246" spans="1:14" ht="15">
      <c r="B1246" s="221"/>
      <c r="C1246" s="218" t="s">
        <v>301</v>
      </c>
      <c r="D1246" s="218"/>
      <c r="E1246" s="218"/>
      <c r="F1246" s="218"/>
      <c r="G1246" s="218"/>
      <c r="H1246" s="218"/>
      <c r="I1246" s="911"/>
      <c r="J1246" s="914"/>
      <c r="K1246" s="911"/>
      <c r="L1246" s="913"/>
      <c r="M1246" s="913"/>
    </row>
    <row r="1247" spans="1:14" ht="15">
      <c r="B1247" s="221"/>
      <c r="C1247" s="218"/>
      <c r="D1247" s="218"/>
      <c r="E1247" s="218"/>
      <c r="F1247" s="223"/>
      <c r="G1247" s="218"/>
      <c r="H1247" s="218"/>
      <c r="I1247" s="911"/>
      <c r="J1247" s="911"/>
      <c r="K1247" s="913"/>
      <c r="L1247" s="914"/>
      <c r="M1247" s="913"/>
    </row>
    <row r="1248" spans="1:14" ht="15">
      <c r="A1248" s="163"/>
      <c r="B1248" s="224"/>
      <c r="C1248" s="224"/>
      <c r="E1248" s="224"/>
      <c r="F1248" s="224"/>
      <c r="G1248" s="392"/>
      <c r="H1248" s="224"/>
      <c r="I1248" s="915"/>
      <c r="J1248" s="65"/>
      <c r="K1248" s="916"/>
      <c r="L1248" s="917"/>
      <c r="M1248" s="917"/>
    </row>
    <row r="1249" spans="1:14" ht="14.25">
      <c r="A1249" s="1008"/>
      <c r="B1249" s="1009"/>
      <c r="C1249" s="1010" t="s">
        <v>300</v>
      </c>
      <c r="D1249" s="226"/>
      <c r="E1249" s="1009"/>
      <c r="F1249" s="1011"/>
      <c r="G1249" s="226"/>
      <c r="H1249" s="1012"/>
      <c r="I1249" s="1013"/>
      <c r="J1249" s="230" t="s">
        <v>526</v>
      </c>
      <c r="K1249" s="3046" t="s">
        <v>543</v>
      </c>
      <c r="L1249" s="3046"/>
      <c r="M1249" s="3046"/>
    </row>
    <row r="1250" spans="1:14" ht="15" thickBot="1">
      <c r="A1250" s="1008"/>
      <c r="B1250" s="1015"/>
      <c r="C1250" s="1015"/>
      <c r="D1250" s="237"/>
      <c r="E1250" s="1015"/>
      <c r="F1250" s="1015"/>
      <c r="G1250" s="234"/>
      <c r="H1250" s="1016"/>
      <c r="I1250" s="1017"/>
      <c r="J1250" s="1218" t="s">
        <v>541</v>
      </c>
      <c r="K1250" s="238"/>
      <c r="L1250" s="456"/>
      <c r="M1250" s="456"/>
    </row>
    <row r="1251" spans="1:14" ht="42.75" customHeight="1" thickBot="1">
      <c r="A1251" s="1011"/>
      <c r="B1251" s="1019" t="s">
        <v>137</v>
      </c>
      <c r="C1251" s="1020" t="s">
        <v>138</v>
      </c>
      <c r="D1251" s="1019" t="s">
        <v>139</v>
      </c>
      <c r="E1251" s="1019" t="s">
        <v>140</v>
      </c>
      <c r="F1251" s="1019" t="s">
        <v>141</v>
      </c>
      <c r="G1251" s="1019" t="s">
        <v>142</v>
      </c>
      <c r="H1251" s="1021" t="s">
        <v>126</v>
      </c>
      <c r="I1251" s="1019" t="s">
        <v>143</v>
      </c>
      <c r="J1251" s="1022" t="s">
        <v>304</v>
      </c>
      <c r="K1251" s="1023" t="s">
        <v>434</v>
      </c>
      <c r="L1251" s="1024" t="s">
        <v>502</v>
      </c>
      <c r="M1251" s="1025" t="s">
        <v>305</v>
      </c>
    </row>
    <row r="1252" spans="1:14" ht="16.7" customHeight="1" thickBot="1">
      <c r="A1252" s="1011"/>
      <c r="B1252" s="1026" t="s">
        <v>148</v>
      </c>
      <c r="C1252" s="1027">
        <v>25</v>
      </c>
      <c r="D1252" s="3040" t="s">
        <v>267</v>
      </c>
      <c r="E1252" s="1029">
        <v>1</v>
      </c>
      <c r="F1252" s="1029">
        <v>1111</v>
      </c>
      <c r="G1252" s="1030">
        <v>10430</v>
      </c>
      <c r="H1252" s="1031"/>
      <c r="I1252" s="1032"/>
      <c r="J1252" s="1033" t="s">
        <v>308</v>
      </c>
      <c r="K1252" s="1034">
        <f>SUM(K1253+K1254+K1255+K1256)</f>
        <v>0</v>
      </c>
      <c r="L1252" s="1034">
        <f>SUM(L1253+L1254+L1255+L1256)</f>
        <v>0</v>
      </c>
      <c r="M1252" s="1034"/>
    </row>
    <row r="1253" spans="1:14">
      <c r="A1253" s="1011"/>
      <c r="B1253" s="1035"/>
      <c r="C1253" s="1036"/>
      <c r="D1253" s="3041"/>
      <c r="E1253" s="1036"/>
      <c r="F1253" s="1036"/>
      <c r="G1253" s="1036"/>
      <c r="H1253" s="1037"/>
      <c r="I1253" s="1038"/>
      <c r="J1253" s="1039" t="s">
        <v>309</v>
      </c>
      <c r="K1253" s="1040"/>
      <c r="L1253" s="1041"/>
      <c r="M1253" s="1042"/>
    </row>
    <row r="1254" spans="1:14">
      <c r="A1254" s="1011"/>
      <c r="B1254" s="1043"/>
      <c r="C1254" s="1044"/>
      <c r="D1254" s="3041"/>
      <c r="E1254" s="1044"/>
      <c r="F1254" s="1044"/>
      <c r="G1254" s="1044"/>
      <c r="H1254" s="1045"/>
      <c r="I1254" s="1046"/>
      <c r="J1254" s="1047" t="s">
        <v>310</v>
      </c>
      <c r="K1254" s="1048"/>
      <c r="L1254" s="1049"/>
      <c r="M1254" s="1049"/>
    </row>
    <row r="1255" spans="1:14">
      <c r="A1255" s="1011"/>
      <c r="B1255" s="1043"/>
      <c r="C1255" s="1044"/>
      <c r="D1255" s="3041"/>
      <c r="E1255" s="1044"/>
      <c r="F1255" s="1044"/>
      <c r="G1255" s="1044"/>
      <c r="H1255" s="1045"/>
      <c r="I1255" s="1046"/>
      <c r="J1255" s="1047" t="s">
        <v>311</v>
      </c>
      <c r="K1255" s="1048"/>
      <c r="L1255" s="1049"/>
      <c r="M1255" s="1049"/>
    </row>
    <row r="1256" spans="1:14" ht="13.5" thickBot="1">
      <c r="A1256" s="1010"/>
      <c r="B1256" s="1050"/>
      <c r="C1256" s="1051"/>
      <c r="D1256" s="3042"/>
      <c r="E1256" s="1051"/>
      <c r="F1256" s="1051"/>
      <c r="G1256" s="1051"/>
      <c r="H1256" s="1052"/>
      <c r="I1256" s="1053"/>
      <c r="J1256" s="1054" t="s">
        <v>312</v>
      </c>
      <c r="K1256" s="1055"/>
      <c r="L1256" s="1056"/>
      <c r="M1256" s="1056"/>
    </row>
    <row r="1257" spans="1:14" ht="16.5" thickBot="1">
      <c r="A1257" s="1010"/>
      <c r="B1257" s="1057"/>
      <c r="C1257" s="1058"/>
      <c r="D1257" s="1058"/>
      <c r="E1257" s="1058"/>
      <c r="F1257" s="1058"/>
      <c r="G1257" s="1058"/>
      <c r="H1257" s="1058"/>
      <c r="I1257" s="1059"/>
      <c r="J1257" s="1060" t="s">
        <v>313</v>
      </c>
      <c r="K1257" s="1061">
        <f>SUM(K1258+K1273+K1276+K1355+K1356)</f>
        <v>68260</v>
      </c>
      <c r="L1257" s="1061">
        <f>SUM(L1258+L1273+L1276+L1355+L1356)</f>
        <v>64392</v>
      </c>
      <c r="M1257" s="1062">
        <f>SUM(M1258+M1273+M1276+M1355+M1356)</f>
        <v>62165219</v>
      </c>
    </row>
    <row r="1258" spans="1:14" ht="13.5" thickBot="1">
      <c r="A1258" s="1010"/>
      <c r="B1258" s="1063"/>
      <c r="C1258" s="1064"/>
      <c r="D1258" s="1064"/>
      <c r="E1258" s="1064"/>
      <c r="F1258" s="1064"/>
      <c r="G1258" s="1064"/>
      <c r="H1258" s="1065">
        <v>600</v>
      </c>
      <c r="I1258" s="1066"/>
      <c r="J1258" s="1067" t="s">
        <v>314</v>
      </c>
      <c r="K1258" s="1068">
        <f>SUM(K1259+K1260+K1261+K1262+K1263+K1264+K1265+K1266+K1267+K1268+K1269+K1270+K1271+K1272)</f>
        <v>40700</v>
      </c>
      <c r="L1258" s="1068">
        <f>L1259+L1269+L1272</f>
        <v>37387</v>
      </c>
      <c r="M1258" s="1069">
        <f>M1259+M1269+M1272</f>
        <v>35226461</v>
      </c>
    </row>
    <row r="1259" spans="1:14">
      <c r="A1259" s="1010"/>
      <c r="B1259" s="1070"/>
      <c r="C1259" s="1071"/>
      <c r="D1259" s="1071"/>
      <c r="E1259" s="1071"/>
      <c r="F1259" s="1071"/>
      <c r="G1259" s="1071"/>
      <c r="H1259" s="1072"/>
      <c r="I1259" s="1073">
        <v>600.1</v>
      </c>
      <c r="J1259" s="1074" t="s">
        <v>315</v>
      </c>
      <c r="K1259" s="1075">
        <f>41700-1000</f>
        <v>40700</v>
      </c>
      <c r="L1259" s="1076">
        <v>37387</v>
      </c>
      <c r="M1259" s="1077">
        <f>SUM(M1260:M1264)</f>
        <v>35177461</v>
      </c>
    </row>
    <row r="1260" spans="1:14">
      <c r="A1260" s="1010"/>
      <c r="B1260" s="1078"/>
      <c r="C1260" s="1079"/>
      <c r="D1260" s="1079"/>
      <c r="E1260" s="1079"/>
      <c r="F1260" s="1079"/>
      <c r="G1260" s="1079"/>
      <c r="H1260" s="1080"/>
      <c r="I1260" s="1081">
        <v>600.1001</v>
      </c>
      <c r="J1260" s="1082" t="s">
        <v>316</v>
      </c>
      <c r="K1260" s="1083"/>
      <c r="L1260" s="1084"/>
      <c r="M1260" s="1220">
        <v>26082107</v>
      </c>
      <c r="N1260" s="1222"/>
    </row>
    <row r="1261" spans="1:14">
      <c r="A1261" s="1010"/>
      <c r="B1261" s="1078"/>
      <c r="C1261" s="1079"/>
      <c r="D1261" s="1079"/>
      <c r="E1261" s="1079"/>
      <c r="F1261" s="1079"/>
      <c r="G1261" s="1079"/>
      <c r="H1261" s="1080"/>
      <c r="I1261" s="1081">
        <v>600.10019999999997</v>
      </c>
      <c r="J1261" s="1082" t="s">
        <v>317</v>
      </c>
      <c r="K1261" s="1083"/>
      <c r="L1261" s="1084"/>
      <c r="M1261" s="1220">
        <v>35988</v>
      </c>
      <c r="N1261" s="1222"/>
    </row>
    <row r="1262" spans="1:14">
      <c r="A1262" s="1010"/>
      <c r="B1262" s="1078"/>
      <c r="C1262" s="1079"/>
      <c r="D1262" s="1079"/>
      <c r="E1262" s="1079"/>
      <c r="F1262" s="1079"/>
      <c r="G1262" s="1079"/>
      <c r="H1262" s="1080"/>
      <c r="I1262" s="1081">
        <v>600.10029999999995</v>
      </c>
      <c r="J1262" s="1082" t="s">
        <v>318</v>
      </c>
      <c r="K1262" s="1083"/>
      <c r="L1262" s="1084"/>
      <c r="M1262" s="1220">
        <v>1869881</v>
      </c>
      <c r="N1262" s="1222"/>
    </row>
    <row r="1263" spans="1:14">
      <c r="A1263" s="1010"/>
      <c r="B1263" s="1078"/>
      <c r="C1263" s="1079"/>
      <c r="D1263" s="1079"/>
      <c r="E1263" s="1079"/>
      <c r="F1263" s="1079"/>
      <c r="G1263" s="1079"/>
      <c r="H1263" s="1080"/>
      <c r="I1263" s="1081">
        <v>600.10050000000001</v>
      </c>
      <c r="J1263" s="1082" t="s">
        <v>475</v>
      </c>
      <c r="K1263" s="1083"/>
      <c r="L1263" s="1084"/>
      <c r="M1263" s="1220">
        <v>6890000</v>
      </c>
      <c r="N1263" s="1222"/>
    </row>
    <row r="1264" spans="1:14">
      <c r="A1264" s="1010"/>
      <c r="B1264" s="1078"/>
      <c r="C1264" s="1079"/>
      <c r="D1264" s="1079"/>
      <c r="E1264" s="1079"/>
      <c r="F1264" s="1079"/>
      <c r="G1264" s="1079"/>
      <c r="H1264" s="1080"/>
      <c r="I1264" s="1081"/>
      <c r="J1264" s="1082" t="s">
        <v>326</v>
      </c>
      <c r="K1264" s="1083"/>
      <c r="L1264" s="1086"/>
      <c r="M1264" s="1220">
        <v>299485</v>
      </c>
      <c r="N1264" s="1222"/>
    </row>
    <row r="1265" spans="1:15">
      <c r="A1265" s="1010"/>
      <c r="B1265" s="1087"/>
      <c r="C1265" s="1079"/>
      <c r="D1265" s="1079"/>
      <c r="E1265" s="1079"/>
      <c r="F1265" s="1079"/>
      <c r="G1265" s="1079"/>
      <c r="H1265" s="1080"/>
      <c r="I1265" s="1081">
        <v>600.20000000000005</v>
      </c>
      <c r="J1265" s="1082" t="s">
        <v>320</v>
      </c>
      <c r="K1265" s="1083"/>
      <c r="L1265" s="1088"/>
      <c r="M1265" s="1089"/>
    </row>
    <row r="1266" spans="1:15">
      <c r="A1266" s="1010"/>
      <c r="B1266" s="1087"/>
      <c r="C1266" s="1079"/>
      <c r="D1266" s="1079"/>
      <c r="E1266" s="1079"/>
      <c r="F1266" s="1079"/>
      <c r="G1266" s="1079"/>
      <c r="H1266" s="1080"/>
      <c r="I1266" s="1081">
        <v>600.21</v>
      </c>
      <c r="J1266" s="1082" t="s">
        <v>321</v>
      </c>
      <c r="K1266" s="1083"/>
      <c r="L1266" s="1089"/>
      <c r="M1266" s="1089"/>
    </row>
    <row r="1267" spans="1:15">
      <c r="A1267" s="1010"/>
      <c r="B1267" s="1087"/>
      <c r="C1267" s="1079"/>
      <c r="D1267" s="1079"/>
      <c r="E1267" s="1079"/>
      <c r="F1267" s="1079"/>
      <c r="G1267" s="1079"/>
      <c r="H1267" s="1080"/>
      <c r="I1267" s="1081">
        <v>600.22</v>
      </c>
      <c r="J1267" s="1082" t="s">
        <v>322</v>
      </c>
      <c r="K1267" s="1083"/>
      <c r="L1267" s="1089"/>
      <c r="M1267" s="1089"/>
    </row>
    <row r="1268" spans="1:15">
      <c r="A1268" s="1010"/>
      <c r="B1268" s="1087"/>
      <c r="C1268" s="1079"/>
      <c r="D1268" s="1079"/>
      <c r="E1268" s="1079"/>
      <c r="F1268" s="1079"/>
      <c r="G1268" s="1079"/>
      <c r="H1268" s="1080"/>
      <c r="I1268" s="1081">
        <v>600.29</v>
      </c>
      <c r="J1268" s="1082" t="s">
        <v>323</v>
      </c>
      <c r="K1268" s="1083"/>
      <c r="L1268" s="1089"/>
      <c r="M1268" s="1089"/>
    </row>
    <row r="1269" spans="1:15">
      <c r="A1269" s="1010"/>
      <c r="B1269" s="1087"/>
      <c r="C1269" s="1079"/>
      <c r="D1269" s="1079"/>
      <c r="E1269" s="1079"/>
      <c r="F1269" s="1079"/>
      <c r="G1269" s="1079"/>
      <c r="H1269" s="1080"/>
      <c r="I1269" s="1081">
        <v>600.29999999999995</v>
      </c>
      <c r="J1269" s="1082" t="s">
        <v>324</v>
      </c>
      <c r="K1269" s="1083"/>
      <c r="L1269" s="1089"/>
      <c r="M1269" s="1089">
        <v>49000</v>
      </c>
    </row>
    <row r="1270" spans="1:15">
      <c r="A1270" s="1010"/>
      <c r="B1270" s="1087"/>
      <c r="C1270" s="1079"/>
      <c r="D1270" s="1079"/>
      <c r="E1270" s="1079"/>
      <c r="F1270" s="1079"/>
      <c r="G1270" s="1079"/>
      <c r="H1270" s="1080"/>
      <c r="I1270" s="1081">
        <v>600.30999999999995</v>
      </c>
      <c r="J1270" s="1082" t="s">
        <v>325</v>
      </c>
      <c r="K1270" s="1083"/>
      <c r="L1270" s="1089"/>
      <c r="M1270" s="1089"/>
    </row>
    <row r="1271" spans="1:15" ht="13.5" thickBot="1">
      <c r="A1271" s="1010"/>
      <c r="B1271" s="1087"/>
      <c r="C1271" s="1079"/>
      <c r="D1271" s="1079"/>
      <c r="E1271" s="1079"/>
      <c r="F1271" s="1079"/>
      <c r="G1271" s="1079"/>
      <c r="H1271" s="1080"/>
      <c r="I1271" s="1081"/>
      <c r="J1271" s="1082" t="s">
        <v>323</v>
      </c>
      <c r="K1271" s="1083"/>
      <c r="L1271" s="1090"/>
      <c r="M1271" s="1091"/>
    </row>
    <row r="1272" spans="1:15" ht="13.5" thickBot="1">
      <c r="A1272" s="1010"/>
      <c r="B1272" s="1092"/>
      <c r="C1272" s="1093"/>
      <c r="D1272" s="1093"/>
      <c r="E1272" s="1093"/>
      <c r="F1272" s="1093"/>
      <c r="G1272" s="1093"/>
      <c r="H1272" s="1094"/>
      <c r="I1272" s="1095">
        <v>600.9</v>
      </c>
      <c r="J1272" s="1096" t="s">
        <v>437</v>
      </c>
      <c r="K1272" s="1097"/>
      <c r="L1272" s="1098"/>
      <c r="M1272" s="1099"/>
      <c r="O1272" s="682">
        <f>21193714-M1276</f>
        <v>5950</v>
      </c>
    </row>
    <row r="1273" spans="1:15" ht="13.5" thickBot="1">
      <c r="A1273" s="1010"/>
      <c r="B1273" s="1063"/>
      <c r="C1273" s="1064"/>
      <c r="D1273" s="1064"/>
      <c r="E1273" s="1064"/>
      <c r="F1273" s="1064"/>
      <c r="G1273" s="1064"/>
      <c r="H1273" s="1065">
        <v>601</v>
      </c>
      <c r="I1273" s="1066"/>
      <c r="J1273" s="1067" t="s">
        <v>328</v>
      </c>
      <c r="K1273" s="1068">
        <f>K1274</f>
        <v>6360</v>
      </c>
      <c r="L1273" s="1068">
        <f>SUM(L1274:L1275)</f>
        <v>5805</v>
      </c>
      <c r="M1273" s="1069">
        <f>SUM(M1274+M1275)</f>
        <v>5750994</v>
      </c>
    </row>
    <row r="1274" spans="1:15">
      <c r="A1274" s="1010"/>
      <c r="B1274" s="1100"/>
      <c r="C1274" s="1101"/>
      <c r="D1274" s="1101"/>
      <c r="E1274" s="1101"/>
      <c r="F1274" s="1101"/>
      <c r="G1274" s="1101"/>
      <c r="H1274" s="1102"/>
      <c r="I1274" s="1103">
        <v>601.01</v>
      </c>
      <c r="J1274" s="1074" t="s">
        <v>329</v>
      </c>
      <c r="K1274" s="1075">
        <f>6660-300</f>
        <v>6360</v>
      </c>
      <c r="L1274" s="1075">
        <v>5805</v>
      </c>
      <c r="M1274" s="1219">
        <v>5166703</v>
      </c>
      <c r="N1274" s="1222"/>
    </row>
    <row r="1275" spans="1:15" ht="14.25" thickBot="1">
      <c r="A1275" s="1010"/>
      <c r="B1275" s="1092"/>
      <c r="C1275" s="1093"/>
      <c r="D1275" s="1093"/>
      <c r="E1275" s="1093"/>
      <c r="F1275" s="1093"/>
      <c r="G1275" s="1093"/>
      <c r="H1275" s="1094"/>
      <c r="I1275" s="1106">
        <v>601.11</v>
      </c>
      <c r="J1275" s="1096" t="s">
        <v>330</v>
      </c>
      <c r="K1275" s="1107"/>
      <c r="L1275" s="1108"/>
      <c r="M1275" s="1219">
        <v>584291</v>
      </c>
      <c r="N1275" s="1222"/>
    </row>
    <row r="1276" spans="1:15" ht="13.5" thickBot="1">
      <c r="A1276" s="1010"/>
      <c r="B1276" s="1109"/>
      <c r="C1276" s="1110"/>
      <c r="D1276" s="1110"/>
      <c r="E1276" s="1110"/>
      <c r="F1276" s="1110"/>
      <c r="G1276" s="1110"/>
      <c r="H1276" s="1065">
        <v>602</v>
      </c>
      <c r="I1276" s="1111"/>
      <c r="J1276" s="1067" t="s">
        <v>170</v>
      </c>
      <c r="K1276" s="1112">
        <f>SUM(K1277+K1284+K1297+K1312+K1317+K1320+K1329+K1335+K1342+K1345)</f>
        <v>21200</v>
      </c>
      <c r="L1276" s="1112">
        <f>SUM(L1277+L1284+L1297+L1312+L1317+L1320+L1329+L1335+L1342+L1345)</f>
        <v>21200</v>
      </c>
      <c r="M1276" s="1113">
        <f>SUM(M1277+M1284+M1297+M1312+M1317+M1320+M1329+M1335+M1342+M1345)</f>
        <v>21187764</v>
      </c>
      <c r="O1276" s="682">
        <f>M1276-21200000</f>
        <v>-12236</v>
      </c>
    </row>
    <row r="1277" spans="1:15" ht="13.5" thickBot="1">
      <c r="A1277" s="1010"/>
      <c r="B1277" s="1114"/>
      <c r="C1277" s="1115"/>
      <c r="D1277" s="1115"/>
      <c r="E1277" s="1115"/>
      <c r="F1277" s="1115"/>
      <c r="G1277" s="1115"/>
      <c r="H1277" s="1116"/>
      <c r="I1277" s="1117">
        <v>6020</v>
      </c>
      <c r="J1277" s="1118" t="s">
        <v>331</v>
      </c>
      <c r="K1277" s="1119">
        <v>21200</v>
      </c>
      <c r="L1277" s="1120">
        <f>SUM(L1278+L1279+L1280+L1281+L1282+L1283)</f>
        <v>1327</v>
      </c>
      <c r="M1277" s="1120">
        <f>SUM(M1278+M1279+M1280+M1281+M1282+M1283)</f>
        <v>1488120</v>
      </c>
    </row>
    <row r="1278" spans="1:15">
      <c r="A1278" s="1010"/>
      <c r="B1278" s="1121"/>
      <c r="C1278" s="1122"/>
      <c r="D1278" s="1122"/>
      <c r="E1278" s="1122"/>
      <c r="F1278" s="1122"/>
      <c r="G1278" s="1122"/>
      <c r="H1278" s="1123"/>
      <c r="I1278" s="1124" t="s">
        <v>11</v>
      </c>
      <c r="J1278" s="1125" t="s">
        <v>172</v>
      </c>
      <c r="K1278" s="1126"/>
      <c r="L1278" s="1223">
        <v>400</v>
      </c>
      <c r="M1278" s="1127">
        <v>393500</v>
      </c>
    </row>
    <row r="1279" spans="1:15">
      <c r="A1279" s="1010"/>
      <c r="B1279" s="1128"/>
      <c r="C1279" s="1129"/>
      <c r="D1279" s="1129"/>
      <c r="E1279" s="1129"/>
      <c r="F1279" s="1129"/>
      <c r="G1279" s="1129"/>
      <c r="H1279" s="1130"/>
      <c r="I1279" s="1131">
        <v>602.02</v>
      </c>
      <c r="J1279" s="699" t="s">
        <v>332</v>
      </c>
      <c r="K1279" s="1132"/>
      <c r="L1279" s="1224">
        <v>170</v>
      </c>
      <c r="M1279" s="1133">
        <v>169440</v>
      </c>
    </row>
    <row r="1280" spans="1:15">
      <c r="A1280" s="1010"/>
      <c r="B1280" s="1134"/>
      <c r="C1280" s="1135"/>
      <c r="D1280" s="1135"/>
      <c r="E1280" s="1135"/>
      <c r="F1280" s="1135"/>
      <c r="G1280" s="1135"/>
      <c r="H1280" s="1136"/>
      <c r="I1280" s="1081">
        <v>602.03</v>
      </c>
      <c r="J1280" s="700" t="s">
        <v>528</v>
      </c>
      <c r="K1280" s="1137"/>
      <c r="L1280" s="1225">
        <v>357</v>
      </c>
      <c r="M1280" s="1138">
        <v>357000</v>
      </c>
    </row>
    <row r="1281" spans="1:13">
      <c r="A1281" s="1011"/>
      <c r="B1281" s="1134"/>
      <c r="C1281" s="1135"/>
      <c r="D1281" s="1135"/>
      <c r="E1281" s="1135"/>
      <c r="F1281" s="1135"/>
      <c r="G1281" s="1135"/>
      <c r="H1281" s="1136"/>
      <c r="I1281" s="1081">
        <v>602.04</v>
      </c>
      <c r="J1281" s="700" t="s">
        <v>334</v>
      </c>
      <c r="K1281" s="1137"/>
      <c r="L1281" s="1225"/>
      <c r="M1281" s="1138"/>
    </row>
    <row r="1282" spans="1:13">
      <c r="A1282" s="1011"/>
      <c r="B1282" s="1134"/>
      <c r="C1282" s="1135"/>
      <c r="D1282" s="1135"/>
      <c r="E1282" s="1135"/>
      <c r="F1282" s="1135"/>
      <c r="G1282" s="1135"/>
      <c r="H1282" s="1136"/>
      <c r="I1282" s="1081">
        <v>602.04999999999995</v>
      </c>
      <c r="J1282" s="700" t="s">
        <v>529</v>
      </c>
      <c r="K1282" s="1137"/>
      <c r="L1282" s="1225">
        <v>400</v>
      </c>
      <c r="M1282" s="1138">
        <v>390100</v>
      </c>
    </row>
    <row r="1283" spans="1:13" ht="13.5" thickBot="1">
      <c r="A1283" s="1011"/>
      <c r="B1283" s="1139"/>
      <c r="C1283" s="1140"/>
      <c r="D1283" s="1140"/>
      <c r="E1283" s="1140"/>
      <c r="F1283" s="1140"/>
      <c r="G1283" s="1140"/>
      <c r="H1283" s="1141"/>
      <c r="I1283" s="1095">
        <v>602.09</v>
      </c>
      <c r="J1283" s="1142" t="s">
        <v>530</v>
      </c>
      <c r="K1283" s="1143"/>
      <c r="L1283" s="1144"/>
      <c r="M1283" s="1144">
        <v>178080</v>
      </c>
    </row>
    <row r="1284" spans="1:13" ht="13.5" thickBot="1">
      <c r="A1284" s="1011"/>
      <c r="B1284" s="1114"/>
      <c r="C1284" s="1115"/>
      <c r="D1284" s="1115"/>
      <c r="E1284" s="1115"/>
      <c r="F1284" s="1115"/>
      <c r="G1284" s="1115"/>
      <c r="H1284" s="1116"/>
      <c r="I1284" s="1117">
        <v>602.1</v>
      </c>
      <c r="J1284" s="1118" t="s">
        <v>336</v>
      </c>
      <c r="K1284" s="1145">
        <f>SUM(K1285+K1286+K1287+K1288+K1289+K1290+K1291+K1292+K1293+K1294+K1295+K1296)</f>
        <v>0</v>
      </c>
      <c r="L1284" s="1146">
        <f>SUM(L1285+L1286+L1287+L1288+L1289+L1290+L1291+L1292+L1293+L1294+L1295+L1296)</f>
        <v>395</v>
      </c>
      <c r="M1284" s="1146">
        <f>SUM(M1285+M1286+M1287+M1288+M1289+M1290+M1291+M1292+M1293+M1294+M1295+M1296)</f>
        <v>754809</v>
      </c>
    </row>
    <row r="1285" spans="1:13">
      <c r="A1285" s="1011"/>
      <c r="B1285" s="1128"/>
      <c r="C1285" s="1129"/>
      <c r="D1285" s="1129"/>
      <c r="E1285" s="1129"/>
      <c r="F1285" s="1129"/>
      <c r="G1285" s="1129"/>
      <c r="H1285" s="1130"/>
      <c r="I1285" s="1147">
        <v>602.1001</v>
      </c>
      <c r="J1285" s="699" t="s">
        <v>337</v>
      </c>
      <c r="K1285" s="1132"/>
      <c r="L1285" s="1133"/>
      <c r="M1285" s="1133"/>
    </row>
    <row r="1286" spans="1:13">
      <c r="A1286" s="1011"/>
      <c r="B1286" s="1134"/>
      <c r="C1286" s="1135"/>
      <c r="D1286" s="1135"/>
      <c r="E1286" s="1135"/>
      <c r="F1286" s="1135"/>
      <c r="G1286" s="1135"/>
      <c r="H1286" s="1136"/>
      <c r="I1286" s="1148">
        <v>602.10019999999997</v>
      </c>
      <c r="J1286" s="700" t="s">
        <v>338</v>
      </c>
      <c r="K1286" s="1137"/>
      <c r="L1286" s="1138"/>
      <c r="M1286" s="1138"/>
    </row>
    <row r="1287" spans="1:13">
      <c r="A1287" s="1011"/>
      <c r="B1287" s="1134"/>
      <c r="C1287" s="1135"/>
      <c r="D1287" s="1135"/>
      <c r="E1287" s="1135"/>
      <c r="F1287" s="1135"/>
      <c r="G1287" s="1135"/>
      <c r="H1287" s="1136"/>
      <c r="I1287" s="1148">
        <v>602.10029999999995</v>
      </c>
      <c r="J1287" s="700" t="s">
        <v>339</v>
      </c>
      <c r="K1287" s="1137"/>
      <c r="L1287" s="1138"/>
      <c r="M1287" s="1138"/>
    </row>
    <row r="1288" spans="1:13">
      <c r="A1288" s="1011"/>
      <c r="B1288" s="1134"/>
      <c r="C1288" s="1135"/>
      <c r="D1288" s="1135"/>
      <c r="E1288" s="1135"/>
      <c r="F1288" s="1135"/>
      <c r="G1288" s="1135"/>
      <c r="H1288" s="1136"/>
      <c r="I1288" s="1148">
        <v>602.10040000000004</v>
      </c>
      <c r="J1288" s="700" t="s">
        <v>340</v>
      </c>
      <c r="K1288" s="1137"/>
      <c r="L1288" s="1138"/>
      <c r="M1288" s="1138"/>
    </row>
    <row r="1289" spans="1:13">
      <c r="A1289" s="1011"/>
      <c r="B1289" s="1134"/>
      <c r="C1289" s="1135"/>
      <c r="D1289" s="1135"/>
      <c r="E1289" s="1135"/>
      <c r="F1289" s="1135"/>
      <c r="G1289" s="1135"/>
      <c r="H1289" s="1136"/>
      <c r="I1289" s="1148">
        <v>602.10050000000001</v>
      </c>
      <c r="J1289" s="700" t="s">
        <v>341</v>
      </c>
      <c r="K1289" s="1137"/>
      <c r="L1289" s="1138"/>
      <c r="M1289" s="1138"/>
    </row>
    <row r="1290" spans="1:13">
      <c r="A1290" s="1011"/>
      <c r="B1290" s="1134"/>
      <c r="C1290" s="1135"/>
      <c r="D1290" s="1135"/>
      <c r="E1290" s="1135"/>
      <c r="F1290" s="1135"/>
      <c r="G1290" s="1135"/>
      <c r="H1290" s="1136"/>
      <c r="I1290" s="1148">
        <v>602.10059999999999</v>
      </c>
      <c r="J1290" s="700" t="s">
        <v>342</v>
      </c>
      <c r="K1290" s="1137"/>
      <c r="L1290" s="1138"/>
      <c r="M1290" s="1138"/>
    </row>
    <row r="1291" spans="1:13">
      <c r="A1291" s="1011"/>
      <c r="B1291" s="1134"/>
      <c r="C1291" s="1135"/>
      <c r="D1291" s="1135"/>
      <c r="E1291" s="1135"/>
      <c r="F1291" s="1135"/>
      <c r="G1291" s="1135"/>
      <c r="H1291" s="1136"/>
      <c r="I1291" s="1148">
        <v>602.10069999999996</v>
      </c>
      <c r="J1291" s="700" t="s">
        <v>469</v>
      </c>
      <c r="K1291" s="1137"/>
      <c r="L1291" s="1138">
        <v>395</v>
      </c>
      <c r="M1291" s="1138">
        <v>395000</v>
      </c>
    </row>
    <row r="1292" spans="1:13">
      <c r="A1292" s="1011"/>
      <c r="B1292" s="1134"/>
      <c r="C1292" s="1135"/>
      <c r="D1292" s="1135"/>
      <c r="E1292" s="1135"/>
      <c r="F1292" s="1135"/>
      <c r="G1292" s="1135"/>
      <c r="H1292" s="1136"/>
      <c r="I1292" s="1148">
        <v>602.10080000000005</v>
      </c>
      <c r="J1292" s="700" t="s">
        <v>343</v>
      </c>
      <c r="K1292" s="1137"/>
      <c r="L1292" s="1138"/>
      <c r="M1292" s="1138"/>
    </row>
    <row r="1293" spans="1:13">
      <c r="A1293" s="1011"/>
      <c r="B1293" s="1134"/>
      <c r="C1293" s="1135"/>
      <c r="D1293" s="1135"/>
      <c r="E1293" s="1135"/>
      <c r="F1293" s="1135"/>
      <c r="G1293" s="1135"/>
      <c r="H1293" s="1136"/>
      <c r="I1293" s="1148">
        <v>602.10090000000002</v>
      </c>
      <c r="J1293" s="700" t="s">
        <v>344</v>
      </c>
      <c r="K1293" s="1149"/>
      <c r="L1293" s="1150"/>
      <c r="M1293" s="1150"/>
    </row>
    <row r="1294" spans="1:13">
      <c r="A1294" s="1011"/>
      <c r="B1294" s="1134"/>
      <c r="C1294" s="1135"/>
      <c r="D1294" s="1135"/>
      <c r="E1294" s="1135"/>
      <c r="F1294" s="1135"/>
      <c r="G1294" s="1135"/>
      <c r="H1294" s="1136"/>
      <c r="I1294" s="1148">
        <v>602.101</v>
      </c>
      <c r="J1294" s="700" t="s">
        <v>345</v>
      </c>
      <c r="K1294" s="1149"/>
      <c r="L1294" s="1150"/>
      <c r="M1294" s="1150"/>
    </row>
    <row r="1295" spans="1:13">
      <c r="A1295" s="1011"/>
      <c r="B1295" s="1134"/>
      <c r="C1295" s="1135"/>
      <c r="D1295" s="1135"/>
      <c r="E1295" s="1135"/>
      <c r="F1295" s="1135"/>
      <c r="G1295" s="1135"/>
      <c r="H1295" s="1136"/>
      <c r="I1295" s="1081">
        <v>602.10109999999997</v>
      </c>
      <c r="J1295" s="700" t="s">
        <v>542</v>
      </c>
      <c r="K1295" s="1149"/>
      <c r="L1295" s="1150"/>
      <c r="M1295" s="1150">
        <f>244776-66760</f>
        <v>178016</v>
      </c>
    </row>
    <row r="1296" spans="1:13" ht="13.5" thickBot="1">
      <c r="A1296" s="1011"/>
      <c r="B1296" s="1151"/>
      <c r="C1296" s="1152"/>
      <c r="D1296" s="1152"/>
      <c r="E1296" s="1152"/>
      <c r="F1296" s="1152"/>
      <c r="G1296" s="1152"/>
      <c r="H1296" s="1153"/>
      <c r="I1296" s="1154">
        <v>602.10990000000004</v>
      </c>
      <c r="J1296" s="701" t="s">
        <v>468</v>
      </c>
      <c r="K1296" s="1155"/>
      <c r="L1296" s="1156"/>
      <c r="M1296" s="1156">
        <f>153593+28200</f>
        <v>181793</v>
      </c>
    </row>
    <row r="1297" spans="1:13" ht="13.5" thickBot="1">
      <c r="A1297" s="1011"/>
      <c r="B1297" s="1114"/>
      <c r="C1297" s="1115"/>
      <c r="D1297" s="1115"/>
      <c r="E1297" s="1115"/>
      <c r="F1297" s="1115"/>
      <c r="G1297" s="1115"/>
      <c r="H1297" s="1116"/>
      <c r="I1297" s="1117">
        <v>602.20000000000005</v>
      </c>
      <c r="J1297" s="1118" t="s">
        <v>348</v>
      </c>
      <c r="K1297" s="1145">
        <f>SUM(K1298+K1299+K1300+K1301+K1302+K1303+K1304+K1305+K1306+K1307+K1308+K1309+K1310+K1311)</f>
        <v>0</v>
      </c>
      <c r="L1297" s="1157">
        <f>SUM(L1298+L1299+L1300+L1303+L1304+L1305+L1306+L1307+L1308+L1309+L1310+L1311)</f>
        <v>2060</v>
      </c>
      <c r="M1297" s="1157">
        <f>SUM(M1298+M1299+M1300+M1303+M1304+M1305+M1306+M1307+M1308+M1309+M1310+M1311)</f>
        <v>3610091</v>
      </c>
    </row>
    <row r="1298" spans="1:13">
      <c r="A1298" s="1011"/>
      <c r="B1298" s="1128"/>
      <c r="C1298" s="1129"/>
      <c r="D1298" s="1129"/>
      <c r="E1298" s="1129"/>
      <c r="F1298" s="1129"/>
      <c r="G1298" s="1129"/>
      <c r="H1298" s="1130"/>
      <c r="I1298" s="1131">
        <v>602.20010000000002</v>
      </c>
      <c r="J1298" s="699" t="s">
        <v>192</v>
      </c>
      <c r="K1298" s="1158"/>
      <c r="L1298" s="1159"/>
      <c r="M1298" s="1159">
        <v>1147224</v>
      </c>
    </row>
    <row r="1299" spans="1:13">
      <c r="A1299" s="1011"/>
      <c r="B1299" s="1134"/>
      <c r="C1299" s="1135"/>
      <c r="D1299" s="1135"/>
      <c r="E1299" s="1135"/>
      <c r="F1299" s="1135"/>
      <c r="G1299" s="1135"/>
      <c r="H1299" s="1136"/>
      <c r="I1299" s="1081">
        <v>602.2002</v>
      </c>
      <c r="J1299" s="700" t="s">
        <v>349</v>
      </c>
      <c r="K1299" s="1149"/>
      <c r="L1299" s="1150">
        <v>0</v>
      </c>
      <c r="M1299" s="1150">
        <v>0</v>
      </c>
    </row>
    <row r="1300" spans="1:13">
      <c r="A1300" s="1011"/>
      <c r="B1300" s="1134"/>
      <c r="C1300" s="1135"/>
      <c r="D1300" s="1135"/>
      <c r="E1300" s="1135"/>
      <c r="F1300" s="1135"/>
      <c r="G1300" s="1135"/>
      <c r="H1300" s="1136"/>
      <c r="I1300" s="1081">
        <v>602.20029999999997</v>
      </c>
      <c r="J1300" s="700" t="s">
        <v>350</v>
      </c>
      <c r="K1300" s="1149"/>
      <c r="L1300" s="1160">
        <f>L1301+L1302</f>
        <v>300</v>
      </c>
      <c r="M1300" s="1160">
        <f>M1301+M1302</f>
        <v>589072</v>
      </c>
    </row>
    <row r="1301" spans="1:13">
      <c r="A1301" s="1011"/>
      <c r="B1301" s="1134"/>
      <c r="C1301" s="1135"/>
      <c r="D1301" s="1135"/>
      <c r="E1301" s="1135"/>
      <c r="F1301" s="1135"/>
      <c r="G1301" s="1135"/>
      <c r="H1301" s="1136"/>
      <c r="I1301" s="1081"/>
      <c r="J1301" s="1161" t="s">
        <v>473</v>
      </c>
      <c r="K1301" s="1149"/>
      <c r="L1301" s="1162"/>
      <c r="M1301" s="1163">
        <v>469072</v>
      </c>
    </row>
    <row r="1302" spans="1:13">
      <c r="A1302" s="1011"/>
      <c r="B1302" s="1134"/>
      <c r="C1302" s="1135"/>
      <c r="D1302" s="1135"/>
      <c r="E1302" s="1135"/>
      <c r="F1302" s="1135"/>
      <c r="G1302" s="1135"/>
      <c r="H1302" s="1136"/>
      <c r="I1302" s="1081"/>
      <c r="J1302" s="1164" t="s">
        <v>474</v>
      </c>
      <c r="K1302" s="1149"/>
      <c r="L1302" s="1150">
        <v>300</v>
      </c>
      <c r="M1302" s="1165">
        <v>120000</v>
      </c>
    </row>
    <row r="1303" spans="1:13">
      <c r="A1303" s="1011"/>
      <c r="B1303" s="1134"/>
      <c r="C1303" s="1135"/>
      <c r="D1303" s="1135"/>
      <c r="E1303" s="1135"/>
      <c r="F1303" s="1135"/>
      <c r="G1303" s="1135"/>
      <c r="H1303" s="1136"/>
      <c r="I1303" s="1081">
        <v>602.20039999999995</v>
      </c>
      <c r="J1303" s="700" t="s">
        <v>351</v>
      </c>
      <c r="K1303" s="1149"/>
      <c r="L1303" s="1166">
        <v>460</v>
      </c>
      <c r="M1303" s="1166">
        <v>443314</v>
      </c>
    </row>
    <row r="1304" spans="1:13">
      <c r="A1304" s="1011"/>
      <c r="B1304" s="1134"/>
      <c r="C1304" s="1135"/>
      <c r="D1304" s="1135"/>
      <c r="E1304" s="1135"/>
      <c r="F1304" s="1135"/>
      <c r="G1304" s="1135"/>
      <c r="H1304" s="1136"/>
      <c r="I1304" s="1081">
        <v>602.20050000000003</v>
      </c>
      <c r="J1304" s="700" t="s">
        <v>352</v>
      </c>
      <c r="K1304" s="1149"/>
      <c r="L1304" s="1150"/>
      <c r="M1304" s="1150"/>
    </row>
    <row r="1305" spans="1:13">
      <c r="A1305" s="1011"/>
      <c r="B1305" s="1134"/>
      <c r="C1305" s="1135"/>
      <c r="D1305" s="1135"/>
      <c r="E1305" s="1135"/>
      <c r="F1305" s="1135"/>
      <c r="G1305" s="1135"/>
      <c r="H1305" s="1136"/>
      <c r="I1305" s="1081">
        <v>602.20060000000001</v>
      </c>
      <c r="J1305" s="700" t="s">
        <v>353</v>
      </c>
      <c r="K1305" s="1149"/>
      <c r="L1305" s="1150"/>
      <c r="M1305" s="1150"/>
    </row>
    <row r="1306" spans="1:13">
      <c r="A1306" s="1011"/>
      <c r="B1306" s="1134"/>
      <c r="C1306" s="1135"/>
      <c r="D1306" s="1135"/>
      <c r="E1306" s="1135"/>
      <c r="F1306" s="1135"/>
      <c r="G1306" s="1135"/>
      <c r="H1306" s="1136"/>
      <c r="I1306" s="1081">
        <v>602.20069999999998</v>
      </c>
      <c r="J1306" s="700" t="s">
        <v>354</v>
      </c>
      <c r="K1306" s="1149"/>
      <c r="L1306" s="1167"/>
      <c r="M1306" s="1167">
        <v>350</v>
      </c>
    </row>
    <row r="1307" spans="1:13">
      <c r="A1307" s="1011"/>
      <c r="B1307" s="1134"/>
      <c r="C1307" s="1135"/>
      <c r="D1307" s="1135"/>
      <c r="E1307" s="1135"/>
      <c r="F1307" s="1135"/>
      <c r="G1307" s="1135"/>
      <c r="H1307" s="1136"/>
      <c r="I1307" s="1081">
        <v>602.20079999999996</v>
      </c>
      <c r="J1307" s="700" t="s">
        <v>355</v>
      </c>
      <c r="K1307" s="1149"/>
      <c r="L1307" s="1150">
        <v>1300</v>
      </c>
      <c r="M1307" s="1150">
        <v>1142316</v>
      </c>
    </row>
    <row r="1308" spans="1:13">
      <c r="A1308" s="1011"/>
      <c r="B1308" s="1134"/>
      <c r="C1308" s="1135"/>
      <c r="D1308" s="1135"/>
      <c r="E1308" s="1135"/>
      <c r="F1308" s="1135"/>
      <c r="G1308" s="1135"/>
      <c r="H1308" s="1136"/>
      <c r="I1308" s="1081">
        <v>602.20090000000005</v>
      </c>
      <c r="J1308" s="700" t="s">
        <v>356</v>
      </c>
      <c r="K1308" s="1149"/>
      <c r="L1308" s="1150"/>
      <c r="M1308" s="1150"/>
    </row>
    <row r="1309" spans="1:13">
      <c r="A1309" s="1011"/>
      <c r="B1309" s="1134"/>
      <c r="C1309" s="1135"/>
      <c r="D1309" s="1135"/>
      <c r="E1309" s="1135"/>
      <c r="F1309" s="1135"/>
      <c r="G1309" s="1135"/>
      <c r="H1309" s="1136"/>
      <c r="I1309" s="1081">
        <v>602.20100000000002</v>
      </c>
      <c r="J1309" s="700" t="s">
        <v>357</v>
      </c>
      <c r="K1309" s="1149"/>
      <c r="L1309" s="1150"/>
      <c r="M1309" s="1150">
        <v>33747</v>
      </c>
    </row>
    <row r="1310" spans="1:13">
      <c r="A1310" s="1011"/>
      <c r="B1310" s="1134"/>
      <c r="C1310" s="1135"/>
      <c r="D1310" s="1135"/>
      <c r="E1310" s="1135"/>
      <c r="F1310" s="1135"/>
      <c r="G1310" s="1135"/>
      <c r="H1310" s="1136"/>
      <c r="I1310" s="1081">
        <v>602.20110000000102</v>
      </c>
      <c r="J1310" s="700" t="s">
        <v>204</v>
      </c>
      <c r="K1310" s="1149"/>
      <c r="L1310" s="1150"/>
      <c r="M1310" s="1150">
        <v>68400</v>
      </c>
    </row>
    <row r="1311" spans="1:13" ht="13.5" thickBot="1">
      <c r="A1311" s="1011"/>
      <c r="B1311" s="1139"/>
      <c r="C1311" s="1140"/>
      <c r="D1311" s="1140"/>
      <c r="E1311" s="1140"/>
      <c r="F1311" s="1140"/>
      <c r="G1311" s="1140"/>
      <c r="H1311" s="1141"/>
      <c r="I1311" s="1095">
        <v>602.20989999999995</v>
      </c>
      <c r="J1311" s="1142" t="s">
        <v>531</v>
      </c>
      <c r="K1311" s="1168"/>
      <c r="L1311" s="1156"/>
      <c r="M1311" s="1156">
        <f>175668+10000</f>
        <v>185668</v>
      </c>
    </row>
    <row r="1312" spans="1:13" ht="13.5" thickBot="1">
      <c r="A1312" s="1011"/>
      <c r="B1312" s="1114"/>
      <c r="C1312" s="1115"/>
      <c r="D1312" s="1115"/>
      <c r="E1312" s="1115"/>
      <c r="F1312" s="1115"/>
      <c r="G1312" s="1115"/>
      <c r="H1312" s="1116"/>
      <c r="I1312" s="1117">
        <v>6023</v>
      </c>
      <c r="J1312" s="1118" t="s">
        <v>206</v>
      </c>
      <c r="K1312" s="1145">
        <f>SUM(K1313+K1314+K1315+K1316)</f>
        <v>0</v>
      </c>
      <c r="L1312" s="1120">
        <f>SUM(L1313+L1314+L1315+L1316)</f>
        <v>2850</v>
      </c>
      <c r="M1312" s="1120">
        <f>SUM(M1313:M1316)</f>
        <v>2480718</v>
      </c>
    </row>
    <row r="1313" spans="1:13">
      <c r="A1313" s="1011"/>
      <c r="B1313" s="1128"/>
      <c r="C1313" s="1129"/>
      <c r="D1313" s="1129"/>
      <c r="E1313" s="1129"/>
      <c r="F1313" s="1129"/>
      <c r="G1313" s="1129"/>
      <c r="H1313" s="1130"/>
      <c r="I1313" s="1131">
        <v>602.30999999999995</v>
      </c>
      <c r="J1313" s="699" t="s">
        <v>207</v>
      </c>
      <c r="K1313" s="1158"/>
      <c r="L1313" s="1169">
        <v>2300</v>
      </c>
      <c r="M1313" s="1169">
        <v>2031294</v>
      </c>
    </row>
    <row r="1314" spans="1:13">
      <c r="A1314" s="1011"/>
      <c r="B1314" s="1134"/>
      <c r="C1314" s="1135"/>
      <c r="D1314" s="1135"/>
      <c r="E1314" s="1135"/>
      <c r="F1314" s="1135"/>
      <c r="G1314" s="1135"/>
      <c r="H1314" s="1136"/>
      <c r="I1314" s="1081">
        <v>602.32000000000005</v>
      </c>
      <c r="J1314" s="700" t="s">
        <v>359</v>
      </c>
      <c r="K1314" s="1149"/>
      <c r="L1314" s="1150">
        <v>400</v>
      </c>
      <c r="M1314" s="1150">
        <v>403640</v>
      </c>
    </row>
    <row r="1315" spans="1:13">
      <c r="A1315" s="1011"/>
      <c r="B1315" s="1134"/>
      <c r="C1315" s="1135"/>
      <c r="D1315" s="1135"/>
      <c r="E1315" s="1135"/>
      <c r="F1315" s="1135"/>
      <c r="G1315" s="1135"/>
      <c r="H1315" s="1136"/>
      <c r="I1315" s="1081">
        <v>602.33000000000004</v>
      </c>
      <c r="J1315" s="700" t="s">
        <v>360</v>
      </c>
      <c r="K1315" s="1149"/>
      <c r="L1315" s="1150">
        <v>150</v>
      </c>
      <c r="M1315" s="1150">
        <f>12000+33784</f>
        <v>45784</v>
      </c>
    </row>
    <row r="1316" spans="1:13" ht="13.5" thickBot="1">
      <c r="A1316" s="1011"/>
      <c r="B1316" s="1139"/>
      <c r="C1316" s="1140"/>
      <c r="D1316" s="1140"/>
      <c r="E1316" s="1140"/>
      <c r="F1316" s="1140"/>
      <c r="G1316" s="1140"/>
      <c r="H1316" s="1141"/>
      <c r="I1316" s="1095">
        <v>602.39</v>
      </c>
      <c r="J1316" s="1142" t="s">
        <v>361</v>
      </c>
      <c r="K1316" s="1168"/>
      <c r="L1316" s="1170"/>
      <c r="M1316" s="1170"/>
    </row>
    <row r="1317" spans="1:13" ht="13.5" thickBot="1">
      <c r="A1317" s="1011"/>
      <c r="B1317" s="1114"/>
      <c r="C1317" s="1115"/>
      <c r="D1317" s="1115"/>
      <c r="E1317" s="1115"/>
      <c r="F1317" s="1115"/>
      <c r="G1317" s="1115"/>
      <c r="H1317" s="1116"/>
      <c r="I1317" s="1117">
        <v>602.4</v>
      </c>
      <c r="J1317" s="1118" t="s">
        <v>362</v>
      </c>
      <c r="K1317" s="1145">
        <f>SUM(K1318+K1319)</f>
        <v>0</v>
      </c>
      <c r="L1317" s="1120">
        <f>SUM(L1318+L1319)</f>
        <v>0</v>
      </c>
      <c r="M1317" s="1120">
        <f>SUM(M1318:M1319)</f>
        <v>2935070</v>
      </c>
    </row>
    <row r="1318" spans="1:13">
      <c r="A1318" s="1011"/>
      <c r="B1318" s="1128"/>
      <c r="C1318" s="1129"/>
      <c r="D1318" s="1129"/>
      <c r="E1318" s="1129"/>
      <c r="F1318" s="1129"/>
      <c r="G1318" s="1129"/>
      <c r="H1318" s="1130"/>
      <c r="I1318" s="1131">
        <v>602.4</v>
      </c>
      <c r="J1318" s="699" t="s">
        <v>363</v>
      </c>
      <c r="K1318" s="1158"/>
      <c r="L1318" s="1171"/>
      <c r="M1318" s="1171">
        <f>2517770+417300</f>
        <v>2935070</v>
      </c>
    </row>
    <row r="1319" spans="1:13" ht="13.5" thickBot="1">
      <c r="A1319" s="1011"/>
      <c r="B1319" s="1139"/>
      <c r="C1319" s="1140"/>
      <c r="D1319" s="1140"/>
      <c r="E1319" s="1140"/>
      <c r="F1319" s="1140"/>
      <c r="G1319" s="1140"/>
      <c r="H1319" s="1141"/>
      <c r="I1319" s="1095">
        <v>602.41</v>
      </c>
      <c r="J1319" s="1142" t="s">
        <v>364</v>
      </c>
      <c r="K1319" s="1168"/>
      <c r="L1319" s="1156"/>
      <c r="M1319" s="1156"/>
    </row>
    <row r="1320" spans="1:13" ht="13.5" thickBot="1">
      <c r="A1320" s="1011"/>
      <c r="B1320" s="1114"/>
      <c r="C1320" s="1115"/>
      <c r="D1320" s="1115"/>
      <c r="E1320" s="1115"/>
      <c r="F1320" s="1115"/>
      <c r="G1320" s="1115"/>
      <c r="H1320" s="1116"/>
      <c r="I1320" s="1117">
        <v>602.5</v>
      </c>
      <c r="J1320" s="1118" t="s">
        <v>365</v>
      </c>
      <c r="K1320" s="1145">
        <f>SUM(K1321+K1322+K1323+K1324+K1325+K1326+K1327+K1328)</f>
        <v>0</v>
      </c>
      <c r="L1320" s="1146">
        <f>SUM(L1321+L1322+L1323+L1324+L1325+L1326+L1327+L1328)</f>
        <v>800</v>
      </c>
      <c r="M1320" s="1146">
        <f>SUM(M1321:M1328)</f>
        <v>729040</v>
      </c>
    </row>
    <row r="1321" spans="1:13">
      <c r="A1321" s="1011"/>
      <c r="B1321" s="1128"/>
      <c r="C1321" s="1129"/>
      <c r="D1321" s="1129"/>
      <c r="E1321" s="1129"/>
      <c r="F1321" s="1129"/>
      <c r="G1321" s="1129"/>
      <c r="H1321" s="1130"/>
      <c r="I1321" s="1131">
        <v>602.5</v>
      </c>
      <c r="J1321" s="699" t="s">
        <v>366</v>
      </c>
      <c r="K1321" s="1172"/>
      <c r="L1321" s="1173"/>
      <c r="M1321" s="1173"/>
    </row>
    <row r="1322" spans="1:13">
      <c r="A1322" s="1011"/>
      <c r="B1322" s="1134"/>
      <c r="C1322" s="1135"/>
      <c r="D1322" s="1135"/>
      <c r="E1322" s="1135"/>
      <c r="F1322" s="1135"/>
      <c r="G1322" s="1135"/>
      <c r="H1322" s="1136"/>
      <c r="I1322" s="1081">
        <v>602.51</v>
      </c>
      <c r="J1322" s="700" t="s">
        <v>367</v>
      </c>
      <c r="K1322" s="1174"/>
      <c r="L1322" s="1175"/>
      <c r="M1322" s="1175"/>
    </row>
    <row r="1323" spans="1:13">
      <c r="A1323" s="1011"/>
      <c r="B1323" s="1134"/>
      <c r="C1323" s="1135"/>
      <c r="D1323" s="1135"/>
      <c r="E1323" s="1135"/>
      <c r="F1323" s="1135"/>
      <c r="G1323" s="1135"/>
      <c r="H1323" s="1136"/>
      <c r="I1323" s="1081">
        <v>602.52</v>
      </c>
      <c r="J1323" s="700" t="s">
        <v>532</v>
      </c>
      <c r="K1323" s="1174"/>
      <c r="L1323" s="1175">
        <v>400</v>
      </c>
      <c r="M1323" s="1175">
        <f>466888+105100-175668</f>
        <v>396320</v>
      </c>
    </row>
    <row r="1324" spans="1:13" ht="13.5" thickBot="1">
      <c r="A1324" s="1011"/>
      <c r="B1324" s="1151"/>
      <c r="C1324" s="1152"/>
      <c r="D1324" s="1152"/>
      <c r="E1324" s="1152"/>
      <c r="F1324" s="1152"/>
      <c r="G1324" s="1152"/>
      <c r="H1324" s="1153"/>
      <c r="I1324" s="1154">
        <v>602.53</v>
      </c>
      <c r="J1324" s="701" t="s">
        <v>369</v>
      </c>
      <c r="K1324" s="1176"/>
      <c r="L1324" s="1177"/>
      <c r="M1324" s="1177"/>
    </row>
    <row r="1325" spans="1:13">
      <c r="A1325" s="1011"/>
      <c r="B1325" s="1121"/>
      <c r="C1325" s="1122"/>
      <c r="D1325" s="1122"/>
      <c r="E1325" s="1122"/>
      <c r="F1325" s="1122"/>
      <c r="G1325" s="1122"/>
      <c r="H1325" s="1123"/>
      <c r="I1325" s="1124">
        <v>602.54</v>
      </c>
      <c r="J1325" s="1125" t="s">
        <v>405</v>
      </c>
      <c r="K1325" s="1178"/>
      <c r="L1325" s="1127"/>
      <c r="M1325" s="1127"/>
    </row>
    <row r="1326" spans="1:13">
      <c r="A1326" s="1011"/>
      <c r="B1326" s="1134"/>
      <c r="C1326" s="1135"/>
      <c r="D1326" s="1135"/>
      <c r="E1326" s="1135"/>
      <c r="F1326" s="1135"/>
      <c r="G1326" s="1135"/>
      <c r="H1326" s="1136"/>
      <c r="I1326" s="1081">
        <v>602.54999999999995</v>
      </c>
      <c r="J1326" s="700" t="s">
        <v>370</v>
      </c>
      <c r="K1326" s="1174"/>
      <c r="L1326" s="1179"/>
      <c r="M1326" s="1179"/>
    </row>
    <row r="1327" spans="1:13">
      <c r="A1327" s="1011"/>
      <c r="B1327" s="1134"/>
      <c r="C1327" s="1135"/>
      <c r="D1327" s="1135"/>
      <c r="E1327" s="1135"/>
      <c r="F1327" s="1135"/>
      <c r="G1327" s="1135"/>
      <c r="H1327" s="1136"/>
      <c r="I1327" s="1081">
        <v>602.55999999999995</v>
      </c>
      <c r="J1327" s="700" t="s">
        <v>371</v>
      </c>
      <c r="K1327" s="1174"/>
      <c r="L1327" s="1175"/>
      <c r="M1327" s="1175"/>
    </row>
    <row r="1328" spans="1:13" ht="13.5" thickBot="1">
      <c r="A1328" s="1011"/>
      <c r="B1328" s="1139"/>
      <c r="C1328" s="1140"/>
      <c r="D1328" s="1140"/>
      <c r="E1328" s="1140"/>
      <c r="F1328" s="1140"/>
      <c r="G1328" s="1140"/>
      <c r="H1328" s="1141"/>
      <c r="I1328" s="1095">
        <v>602.58000000000004</v>
      </c>
      <c r="J1328" s="1142" t="s">
        <v>533</v>
      </c>
      <c r="K1328" s="1180"/>
      <c r="L1328" s="1181">
        <v>400</v>
      </c>
      <c r="M1328" s="1181">
        <f>194950+137770</f>
        <v>332720</v>
      </c>
    </row>
    <row r="1329" spans="1:14" ht="13.5" thickBot="1">
      <c r="A1329" s="1011"/>
      <c r="B1329" s="1114"/>
      <c r="C1329" s="1115"/>
      <c r="D1329" s="1115"/>
      <c r="E1329" s="1115"/>
      <c r="F1329" s="1115"/>
      <c r="G1329" s="1115"/>
      <c r="H1329" s="1116"/>
      <c r="I1329" s="1117">
        <v>602.6</v>
      </c>
      <c r="J1329" s="1118" t="s">
        <v>373</v>
      </c>
      <c r="K1329" s="1182">
        <f>SUM(K1330+K1331+K1332+K1333+K1334)</f>
        <v>0</v>
      </c>
      <c r="L1329" s="1183">
        <f>SUM(L1330+L1331+L1332+L1333+L1334)</f>
        <v>0</v>
      </c>
      <c r="M1329" s="1183">
        <f>SUM(M1330+M1331+M1332+M1333+M1334)</f>
        <v>30000</v>
      </c>
    </row>
    <row r="1330" spans="1:14">
      <c r="A1330" s="1011"/>
      <c r="B1330" s="1128"/>
      <c r="C1330" s="1129"/>
      <c r="D1330" s="1129"/>
      <c r="E1330" s="1129"/>
      <c r="F1330" s="1129"/>
      <c r="G1330" s="1129"/>
      <c r="H1330" s="1130"/>
      <c r="I1330" s="1131">
        <v>602.61</v>
      </c>
      <c r="J1330" s="699" t="s">
        <v>374</v>
      </c>
      <c r="K1330" s="1172"/>
      <c r="L1330" s="1173"/>
      <c r="M1330" s="1173">
        <v>30000</v>
      </c>
    </row>
    <row r="1331" spans="1:14">
      <c r="A1331" s="1011"/>
      <c r="B1331" s="1134"/>
      <c r="C1331" s="1135"/>
      <c r="D1331" s="1135"/>
      <c r="E1331" s="1135"/>
      <c r="F1331" s="1135"/>
      <c r="G1331" s="1135"/>
      <c r="H1331" s="1136"/>
      <c r="I1331" s="1081">
        <v>602.62</v>
      </c>
      <c r="J1331" s="700" t="s">
        <v>375</v>
      </c>
      <c r="K1331" s="1174"/>
      <c r="L1331" s="1175"/>
      <c r="M1331" s="1175"/>
    </row>
    <row r="1332" spans="1:14">
      <c r="A1332" s="1011"/>
      <c r="B1332" s="1134"/>
      <c r="C1332" s="1135"/>
      <c r="D1332" s="1135"/>
      <c r="E1332" s="1135"/>
      <c r="F1332" s="1135"/>
      <c r="G1332" s="1135"/>
      <c r="H1332" s="1136"/>
      <c r="I1332" s="1081">
        <v>602.63</v>
      </c>
      <c r="J1332" s="700" t="s">
        <v>376</v>
      </c>
      <c r="K1332" s="1174"/>
      <c r="L1332" s="1175"/>
      <c r="M1332" s="1175"/>
    </row>
    <row r="1333" spans="1:14">
      <c r="A1333" s="1011"/>
      <c r="B1333" s="1134"/>
      <c r="C1333" s="1135"/>
      <c r="D1333" s="1135"/>
      <c r="E1333" s="1135"/>
      <c r="F1333" s="1135"/>
      <c r="G1333" s="1135"/>
      <c r="H1333" s="1136"/>
      <c r="I1333" s="1081">
        <v>602.64</v>
      </c>
      <c r="J1333" s="700" t="s">
        <v>377</v>
      </c>
      <c r="K1333" s="1174"/>
      <c r="L1333" s="1175"/>
      <c r="M1333" s="1175"/>
    </row>
    <row r="1334" spans="1:14" ht="13.5" thickBot="1">
      <c r="A1334" s="1011"/>
      <c r="B1334" s="1139"/>
      <c r="C1334" s="1140"/>
      <c r="D1334" s="1140"/>
      <c r="E1334" s="1140"/>
      <c r="F1334" s="1140"/>
      <c r="G1334" s="1140"/>
      <c r="H1334" s="1141"/>
      <c r="I1334" s="1095">
        <v>602.69000000000005</v>
      </c>
      <c r="J1334" s="1142" t="s">
        <v>378</v>
      </c>
      <c r="K1334" s="1180"/>
      <c r="L1334" s="1184"/>
      <c r="M1334" s="1184"/>
    </row>
    <row r="1335" spans="1:14" ht="13.5" thickBot="1">
      <c r="A1335" s="1011"/>
      <c r="B1335" s="1114"/>
      <c r="C1335" s="1115"/>
      <c r="D1335" s="1115"/>
      <c r="E1335" s="1115"/>
      <c r="F1335" s="1115"/>
      <c r="G1335" s="1115"/>
      <c r="H1335" s="1116"/>
      <c r="I1335" s="1185">
        <v>602.70000000000005</v>
      </c>
      <c r="J1335" s="1118" t="s">
        <v>379</v>
      </c>
      <c r="K1335" s="1182">
        <f>SUM(K1336+K1337+K1338+K1339+K1340+K1341)</f>
        <v>0</v>
      </c>
      <c r="L1335" s="1183">
        <f>SUM(L1336+L1337+L1338+L1339+L1340+L1341)</f>
        <v>5520</v>
      </c>
      <c r="M1335" s="1183">
        <f>SUM(M1336:M1341)</f>
        <v>8782416</v>
      </c>
    </row>
    <row r="1336" spans="1:14">
      <c r="A1336" s="1011"/>
      <c r="B1336" s="1128"/>
      <c r="C1336" s="1129"/>
      <c r="D1336" s="1129"/>
      <c r="E1336" s="1129"/>
      <c r="F1336" s="1129"/>
      <c r="G1336" s="1129"/>
      <c r="H1336" s="1130"/>
      <c r="I1336" s="1131">
        <v>602.71</v>
      </c>
      <c r="J1336" s="699" t="s">
        <v>380</v>
      </c>
      <c r="K1336" s="1172"/>
      <c r="L1336" s="1173"/>
      <c r="M1336" s="1173"/>
    </row>
    <row r="1337" spans="1:14">
      <c r="A1337" s="1011"/>
      <c r="B1337" s="1134"/>
      <c r="C1337" s="1135"/>
      <c r="D1337" s="1135"/>
      <c r="E1337" s="1135"/>
      <c r="F1337" s="1135"/>
      <c r="G1337" s="1135"/>
      <c r="H1337" s="1136"/>
      <c r="I1337" s="1081">
        <v>602.72</v>
      </c>
      <c r="J1337" s="700" t="s">
        <v>381</v>
      </c>
      <c r="K1337" s="1174"/>
      <c r="L1337" s="1175"/>
      <c r="M1337" s="1175"/>
    </row>
    <row r="1338" spans="1:14">
      <c r="A1338" s="1011"/>
      <c r="B1338" s="1134"/>
      <c r="C1338" s="1135"/>
      <c r="D1338" s="1135"/>
      <c r="E1338" s="1135"/>
      <c r="F1338" s="1135"/>
      <c r="G1338" s="1135"/>
      <c r="H1338" s="1136"/>
      <c r="I1338" s="1081">
        <v>602.73</v>
      </c>
      <c r="J1338" s="700" t="s">
        <v>382</v>
      </c>
      <c r="K1338" s="1174"/>
      <c r="L1338" s="1175"/>
      <c r="M1338" s="1175"/>
    </row>
    <row r="1339" spans="1:14">
      <c r="A1339" s="1011"/>
      <c r="B1339" s="1134"/>
      <c r="C1339" s="1135"/>
      <c r="D1339" s="1135"/>
      <c r="E1339" s="1135"/>
      <c r="F1339" s="1135"/>
      <c r="G1339" s="1135"/>
      <c r="H1339" s="1136"/>
      <c r="I1339" s="1081">
        <v>602.74</v>
      </c>
      <c r="J1339" s="700" t="s">
        <v>383</v>
      </c>
      <c r="K1339" s="1174"/>
      <c r="L1339" s="1138"/>
      <c r="M1339" s="1226">
        <v>3263000</v>
      </c>
      <c r="N1339" s="1222"/>
    </row>
    <row r="1340" spans="1:14">
      <c r="A1340" s="1011"/>
      <c r="B1340" s="1134"/>
      <c r="C1340" s="1135"/>
      <c r="D1340" s="1135"/>
      <c r="E1340" s="1135"/>
      <c r="F1340" s="1135"/>
      <c r="G1340" s="1135"/>
      <c r="H1340" s="1136"/>
      <c r="I1340" s="1081">
        <v>602.75</v>
      </c>
      <c r="J1340" s="700" t="s">
        <v>509</v>
      </c>
      <c r="K1340" s="1174"/>
      <c r="L1340" s="1175">
        <v>5520</v>
      </c>
      <c r="M1340" s="1175">
        <v>5519416</v>
      </c>
    </row>
    <row r="1341" spans="1:14" ht="13.5" thickBot="1">
      <c r="A1341" s="1011"/>
      <c r="B1341" s="1139"/>
      <c r="C1341" s="1140"/>
      <c r="D1341" s="1140"/>
      <c r="E1341" s="1140"/>
      <c r="F1341" s="1140"/>
      <c r="G1341" s="1140"/>
      <c r="H1341" s="1141"/>
      <c r="I1341" s="1095">
        <v>602.79</v>
      </c>
      <c r="J1341" s="1142" t="s">
        <v>385</v>
      </c>
      <c r="K1341" s="1180"/>
      <c r="L1341" s="1184"/>
      <c r="M1341" s="1184"/>
    </row>
    <row r="1342" spans="1:14" ht="13.5" thickBot="1">
      <c r="A1342" s="1011"/>
      <c r="B1342" s="1114"/>
      <c r="C1342" s="1115"/>
      <c r="D1342" s="1115"/>
      <c r="E1342" s="1115"/>
      <c r="F1342" s="1115"/>
      <c r="G1342" s="1115"/>
      <c r="H1342" s="1116"/>
      <c r="I1342" s="1185">
        <v>602.79999999999995</v>
      </c>
      <c r="J1342" s="1118" t="s">
        <v>386</v>
      </c>
      <c r="K1342" s="1182">
        <f>SUM(K1343+K1344)</f>
        <v>0</v>
      </c>
      <c r="L1342" s="1183">
        <f>SUM(L1343+L1344)</f>
        <v>0</v>
      </c>
      <c r="M1342" s="1183">
        <f>SUM(M1343+M1344)</f>
        <v>0</v>
      </c>
    </row>
    <row r="1343" spans="1:14">
      <c r="A1343" s="1011"/>
      <c r="B1343" s="1128"/>
      <c r="C1343" s="1129"/>
      <c r="D1343" s="1129"/>
      <c r="E1343" s="1129"/>
      <c r="F1343" s="1129"/>
      <c r="G1343" s="1129"/>
      <c r="H1343" s="1130"/>
      <c r="I1343" s="1131">
        <v>602.80999999999995</v>
      </c>
      <c r="J1343" s="699" t="s">
        <v>387</v>
      </c>
      <c r="K1343" s="1132"/>
      <c r="L1343" s="1133"/>
      <c r="M1343" s="1133"/>
    </row>
    <row r="1344" spans="1:14" ht="13.5" thickBot="1">
      <c r="A1344" s="1011"/>
      <c r="B1344" s="1139"/>
      <c r="C1344" s="1140"/>
      <c r="D1344" s="1140"/>
      <c r="E1344" s="1140"/>
      <c r="F1344" s="1140"/>
      <c r="G1344" s="1140"/>
      <c r="H1344" s="1141"/>
      <c r="I1344" s="1095">
        <v>602.82000000000005</v>
      </c>
      <c r="J1344" s="1142" t="s">
        <v>388</v>
      </c>
      <c r="K1344" s="1143"/>
      <c r="L1344" s="1144"/>
      <c r="M1344" s="1144"/>
    </row>
    <row r="1345" spans="1:13" ht="13.5" thickBot="1">
      <c r="A1345" s="1011"/>
      <c r="B1345" s="1114"/>
      <c r="C1345" s="1115"/>
      <c r="D1345" s="1115"/>
      <c r="E1345" s="1115"/>
      <c r="F1345" s="1115"/>
      <c r="G1345" s="1115"/>
      <c r="H1345" s="1116"/>
      <c r="I1345" s="1117">
        <v>602.9</v>
      </c>
      <c r="J1345" s="1118" t="s">
        <v>389</v>
      </c>
      <c r="K1345" s="1182">
        <f>SUM(K1346+K1347+K1348+K1349+K1350+K1351+K1352+K1353+K1354)</f>
        <v>0</v>
      </c>
      <c r="L1345" s="1183">
        <f>SUM(L1346+L1347+L1348+L1349+L1350+L1351+L1352+L1353+L1354)</f>
        <v>8248</v>
      </c>
      <c r="M1345" s="1183">
        <f>SUM(M1346+M1347+M1348+M1349+M1350+M1351+M1352+M1353+M1354)</f>
        <v>377500</v>
      </c>
    </row>
    <row r="1346" spans="1:13">
      <c r="A1346" s="1011"/>
      <c r="B1346" s="1121"/>
      <c r="C1346" s="1122"/>
      <c r="D1346" s="1122"/>
      <c r="E1346" s="1122"/>
      <c r="F1346" s="1122"/>
      <c r="G1346" s="1122"/>
      <c r="H1346" s="1123"/>
      <c r="I1346" s="1124">
        <v>602.90009999999995</v>
      </c>
      <c r="J1346" s="1125" t="s">
        <v>390</v>
      </c>
      <c r="K1346" s="1186"/>
      <c r="L1346" s="1187">
        <v>8248</v>
      </c>
      <c r="M1346" s="1187"/>
    </row>
    <row r="1347" spans="1:13">
      <c r="A1347" s="1011"/>
      <c r="B1347" s="1134"/>
      <c r="C1347" s="1135"/>
      <c r="D1347" s="1135"/>
      <c r="E1347" s="1135"/>
      <c r="F1347" s="1135"/>
      <c r="G1347" s="1135"/>
      <c r="H1347" s="1136"/>
      <c r="I1347" s="1081">
        <v>602.90020000000004</v>
      </c>
      <c r="J1347" s="700" t="s">
        <v>392</v>
      </c>
      <c r="K1347" s="1149"/>
      <c r="L1347" s="1150"/>
      <c r="M1347" s="1150"/>
    </row>
    <row r="1348" spans="1:13">
      <c r="A1348" s="1011"/>
      <c r="B1348" s="1134"/>
      <c r="C1348" s="1135"/>
      <c r="D1348" s="1135"/>
      <c r="E1348" s="1135"/>
      <c r="F1348" s="1135"/>
      <c r="G1348" s="1135"/>
      <c r="H1348" s="1136"/>
      <c r="I1348" s="1081">
        <v>602.90030000000002</v>
      </c>
      <c r="J1348" s="700" t="s">
        <v>391</v>
      </c>
      <c r="K1348" s="1149"/>
      <c r="L1348" s="1150"/>
      <c r="M1348" s="1150">
        <v>12000</v>
      </c>
    </row>
    <row r="1349" spans="1:13">
      <c r="A1349" s="1011"/>
      <c r="B1349" s="1134"/>
      <c r="C1349" s="1135"/>
      <c r="D1349" s="1135"/>
      <c r="E1349" s="1135"/>
      <c r="F1349" s="1135"/>
      <c r="G1349" s="1135"/>
      <c r="H1349" s="1136"/>
      <c r="I1349" s="1081">
        <v>602.90039999999999</v>
      </c>
      <c r="J1349" s="700" t="s">
        <v>393</v>
      </c>
      <c r="K1349" s="1149"/>
      <c r="L1349" s="1150"/>
      <c r="M1349" s="1150"/>
    </row>
    <row r="1350" spans="1:13">
      <c r="A1350" s="1011"/>
      <c r="B1350" s="1134"/>
      <c r="C1350" s="1135"/>
      <c r="D1350" s="1135"/>
      <c r="E1350" s="1135"/>
      <c r="F1350" s="1135"/>
      <c r="G1350" s="1135"/>
      <c r="H1350" s="1136"/>
      <c r="I1350" s="1081">
        <v>602.90049999999997</v>
      </c>
      <c r="J1350" s="700" t="s">
        <v>394</v>
      </c>
      <c r="K1350" s="1149"/>
      <c r="L1350" s="1150"/>
      <c r="M1350" s="1150">
        <f>344500+21000</f>
        <v>365500</v>
      </c>
    </row>
    <row r="1351" spans="1:13">
      <c r="A1351" s="1011"/>
      <c r="B1351" s="1134"/>
      <c r="C1351" s="1135"/>
      <c r="D1351" s="1135"/>
      <c r="E1351" s="1135"/>
      <c r="F1351" s="1135"/>
      <c r="G1351" s="1135"/>
      <c r="H1351" s="1136"/>
      <c r="I1351" s="1081">
        <v>602.90060000000005</v>
      </c>
      <c r="J1351" s="700" t="s">
        <v>395</v>
      </c>
      <c r="K1351" s="1149"/>
      <c r="L1351" s="1150"/>
      <c r="M1351" s="1150"/>
    </row>
    <row r="1352" spans="1:13">
      <c r="A1352" s="1011"/>
      <c r="B1352" s="1134"/>
      <c r="C1352" s="1135"/>
      <c r="D1352" s="1135"/>
      <c r="E1352" s="1135"/>
      <c r="F1352" s="1135"/>
      <c r="G1352" s="1135"/>
      <c r="H1352" s="1136"/>
      <c r="I1352" s="1081">
        <v>602.90070000000003</v>
      </c>
      <c r="J1352" s="700" t="s">
        <v>396</v>
      </c>
      <c r="K1352" s="1137"/>
      <c r="L1352" s="1138"/>
      <c r="M1352" s="1138"/>
    </row>
    <row r="1353" spans="1:13">
      <c r="A1353" s="1011"/>
      <c r="B1353" s="1134"/>
      <c r="C1353" s="1135"/>
      <c r="D1353" s="1135"/>
      <c r="E1353" s="1135"/>
      <c r="F1353" s="1135"/>
      <c r="G1353" s="1135"/>
      <c r="H1353" s="1136"/>
      <c r="I1353" s="1081">
        <v>602.90080000000103</v>
      </c>
      <c r="J1353" s="700" t="s">
        <v>397</v>
      </c>
      <c r="K1353" s="1149"/>
      <c r="L1353" s="1150"/>
      <c r="M1353" s="1150"/>
    </row>
    <row r="1354" spans="1:13" ht="13.5" thickBot="1">
      <c r="A1354" s="1011"/>
      <c r="B1354" s="1139"/>
      <c r="C1354" s="1140"/>
      <c r="D1354" s="1140"/>
      <c r="E1354" s="1140"/>
      <c r="F1354" s="1140"/>
      <c r="G1354" s="1140"/>
      <c r="H1354" s="1141"/>
      <c r="I1354" s="1095">
        <v>602.900900000001</v>
      </c>
      <c r="J1354" s="1142" t="s">
        <v>398</v>
      </c>
      <c r="K1354" s="1168"/>
      <c r="L1354" s="1188"/>
      <c r="M1354" s="1188"/>
    </row>
    <row r="1355" spans="1:13" ht="13.5" thickBot="1">
      <c r="A1355" s="1011"/>
      <c r="B1355" s="1189"/>
      <c r="C1355" s="1190"/>
      <c r="D1355" s="1190"/>
      <c r="E1355" s="1190"/>
      <c r="F1355" s="1190"/>
      <c r="G1355" s="1191"/>
      <c r="H1355" s="1192">
        <v>606</v>
      </c>
      <c r="I1355" s="1193">
        <v>606.91</v>
      </c>
      <c r="J1355" s="1194" t="s">
        <v>406</v>
      </c>
      <c r="K1355" s="1195"/>
      <c r="L1355" s="1196"/>
      <c r="M1355" s="1196"/>
    </row>
    <row r="1356" spans="1:13" ht="15.75" thickBot="1">
      <c r="A1356" s="1011"/>
      <c r="B1356" s="1197"/>
      <c r="C1356" s="1198"/>
      <c r="D1356" s="1198"/>
      <c r="E1356" s="1199">
        <v>6</v>
      </c>
      <c r="F1356" s="1198"/>
      <c r="G1356" s="1200">
        <v>10430</v>
      </c>
      <c r="H1356" s="1201">
        <v>231</v>
      </c>
      <c r="I1356" s="1202"/>
      <c r="J1356" s="1203" t="s">
        <v>435</v>
      </c>
      <c r="K1356" s="1204"/>
      <c r="L1356" s="1204"/>
      <c r="M1356" s="1204"/>
    </row>
    <row r="1357" spans="1:13" ht="15">
      <c r="A1357" s="1011"/>
      <c r="B1357" s="10"/>
      <c r="C1357" s="1011" t="s">
        <v>534</v>
      </c>
      <c r="D1357" s="1011"/>
      <c r="E1357" s="1011"/>
      <c r="F1357" s="1011"/>
      <c r="G1357" s="1011"/>
      <c r="H1357" s="1011"/>
      <c r="I1357" s="1011"/>
      <c r="J1357" s="1205"/>
      <c r="K1357" s="1206"/>
      <c r="L1357" s="1207"/>
      <c r="M1357" s="1207"/>
    </row>
    <row r="1358" spans="1:13" ht="15">
      <c r="A1358" s="1011"/>
      <c r="B1358" s="10"/>
      <c r="C1358" s="1011" t="s">
        <v>433</v>
      </c>
      <c r="D1358" s="1011"/>
      <c r="E1358" s="1011"/>
      <c r="F1358" s="1011"/>
      <c r="G1358" s="1011"/>
      <c r="H1358" s="1011"/>
      <c r="I1358" s="1011"/>
      <c r="J1358" s="1205"/>
      <c r="K1358" s="1216" t="s">
        <v>536</v>
      </c>
      <c r="L1358" s="1217"/>
      <c r="M1358" s="1208"/>
    </row>
    <row r="1359" spans="1:13" ht="15">
      <c r="A1359" s="1011"/>
      <c r="B1359" s="10"/>
      <c r="C1359" s="1011"/>
      <c r="D1359" s="1010" t="s">
        <v>402</v>
      </c>
      <c r="E1359" s="1010"/>
      <c r="F1359" s="1010"/>
      <c r="G1359" s="1010"/>
      <c r="H1359" s="1011"/>
      <c r="I1359" s="12"/>
      <c r="J1359" s="1209"/>
      <c r="M1359" s="1207"/>
    </row>
    <row r="1360" spans="1:13">
      <c r="A1360" s="1011"/>
      <c r="B1360" s="10"/>
      <c r="C1360" s="1011"/>
      <c r="D1360" s="1210" t="s">
        <v>439</v>
      </c>
      <c r="E1360" s="1010"/>
      <c r="F1360" s="1010"/>
      <c r="G1360" s="1010"/>
      <c r="H1360" s="1010"/>
      <c r="I1360" s="1010"/>
      <c r="J1360" s="1211"/>
      <c r="K1360" s="1214" t="s">
        <v>535</v>
      </c>
      <c r="L1360" s="1215"/>
      <c r="M1360" s="1212"/>
    </row>
  </sheetData>
  <mergeCells count="15">
    <mergeCell ref="K1249:M1249"/>
    <mergeCell ref="K1125:M1125"/>
    <mergeCell ref="K878:M878"/>
    <mergeCell ref="K1003:M1003"/>
    <mergeCell ref="D500:J500"/>
    <mergeCell ref="D501:J501"/>
    <mergeCell ref="D502:J502"/>
    <mergeCell ref="D1252:D1256"/>
    <mergeCell ref="D491:J491"/>
    <mergeCell ref="D493:J493"/>
    <mergeCell ref="D496:J496"/>
    <mergeCell ref="D497:J497"/>
    <mergeCell ref="D498:J498"/>
    <mergeCell ref="D499:J499"/>
    <mergeCell ref="D1128:D1132"/>
  </mergeCells>
  <phoneticPr fontId="0" type="noConversion"/>
  <pageMargins left="0.3" right="0" top="0.3" bottom="0" header="0" footer="0"/>
  <pageSetup scale="95"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26"/>
  <sheetViews>
    <sheetView zoomScaleNormal="100" workbookViewId="0">
      <selection activeCell="O9" sqref="O9"/>
    </sheetView>
  </sheetViews>
  <sheetFormatPr defaultRowHeight="12.75"/>
  <cols>
    <col min="1" max="1" width="2.140625" style="149" customWidth="1"/>
    <col min="2" max="2" width="3.85546875" customWidth="1"/>
    <col min="3" max="3" width="2.42578125" customWidth="1"/>
    <col min="4" max="4" width="6.5703125" customWidth="1"/>
    <col min="5" max="5" width="2.42578125" customWidth="1"/>
    <col min="6" max="6" width="4.28515625" customWidth="1"/>
    <col min="7" max="7" width="5.5703125" customWidth="1"/>
    <col min="8" max="8" width="4" customWidth="1"/>
    <col min="9" max="9" width="5" customWidth="1"/>
    <col min="10" max="10" width="41.28515625" customWidth="1"/>
    <col min="11" max="11" width="7" customWidth="1"/>
    <col min="12" max="12" width="10.140625" customWidth="1"/>
    <col min="13" max="13" width="10.140625" style="136" customWidth="1"/>
    <col min="14" max="14" width="10.42578125" style="136" customWidth="1"/>
    <col min="15" max="15" width="10" style="136" customWidth="1"/>
    <col min="16" max="16" width="10.28515625" style="149" customWidth="1"/>
    <col min="17" max="17" width="10" style="149" customWidth="1"/>
    <col min="18" max="18" width="10.7109375" style="149" customWidth="1"/>
    <col min="19" max="19" width="12.140625" style="149" bestFit="1" customWidth="1"/>
    <col min="20" max="20" width="10.85546875" style="149" customWidth="1"/>
    <col min="21" max="23" width="10.140625" style="149" bestFit="1" customWidth="1"/>
    <col min="24" max="16384" width="9.140625" style="149"/>
  </cols>
  <sheetData>
    <row r="1" spans="1:26">
      <c r="A1" s="163"/>
      <c r="B1" s="163"/>
      <c r="C1" s="210"/>
      <c r="D1" s="210"/>
      <c r="E1" s="210"/>
      <c r="F1" s="210"/>
      <c r="G1" s="210"/>
      <c r="H1" s="211"/>
      <c r="I1" s="211"/>
      <c r="J1" s="211"/>
      <c r="K1" s="211"/>
      <c r="L1" s="212"/>
      <c r="M1" s="212"/>
      <c r="N1" s="212"/>
      <c r="O1" s="149"/>
    </row>
    <row r="2" spans="1:26" ht="15.75" customHeight="1">
      <c r="A2" s="163"/>
      <c r="B2" s="163"/>
      <c r="C2" s="210"/>
      <c r="D2" s="210"/>
      <c r="E2" s="210"/>
      <c r="F2" s="210"/>
      <c r="G2" s="210"/>
      <c r="H2" s="210"/>
      <c r="I2" s="213"/>
      <c r="J2" s="681"/>
      <c r="K2" s="215"/>
      <c r="L2" s="210"/>
      <c r="M2" s="210"/>
      <c r="N2" s="210"/>
      <c r="O2" s="149"/>
    </row>
    <row r="3" spans="1:26" s="220" customFormat="1" ht="13.5" customHeight="1">
      <c r="A3" s="394"/>
      <c r="B3" s="216"/>
      <c r="C3" s="217"/>
      <c r="D3" s="217"/>
      <c r="E3" s="218"/>
      <c r="F3" s="218"/>
      <c r="G3" s="218"/>
      <c r="H3" s="218"/>
      <c r="I3" s="218"/>
      <c r="J3" s="218"/>
      <c r="K3" s="217"/>
      <c r="L3" s="452"/>
      <c r="M3" s="452"/>
      <c r="N3" s="452"/>
    </row>
    <row r="4" spans="1:26" s="223" customFormat="1" ht="15">
      <c r="A4" s="395"/>
      <c r="B4" s="221"/>
      <c r="C4" s="218" t="s">
        <v>301</v>
      </c>
      <c r="D4" s="218"/>
      <c r="E4" s="218"/>
      <c r="F4" s="218"/>
      <c r="G4" s="218"/>
      <c r="H4" s="218"/>
      <c r="I4" s="218"/>
      <c r="K4" s="218"/>
      <c r="L4" s="453"/>
      <c r="M4" s="453"/>
      <c r="N4" s="453"/>
    </row>
    <row r="5" spans="1:26" s="223" customFormat="1" ht="15">
      <c r="A5" s="395"/>
      <c r="B5" s="221"/>
      <c r="C5" s="218" t="s">
        <v>415</v>
      </c>
      <c r="D5" s="218"/>
      <c r="E5" s="218"/>
      <c r="G5" s="218"/>
      <c r="H5" s="218"/>
      <c r="I5" s="218"/>
      <c r="J5" s="218"/>
      <c r="K5" s="453"/>
      <c r="M5" s="453"/>
      <c r="N5" s="453"/>
    </row>
    <row r="6" spans="1:26" ht="13.5" customHeight="1">
      <c r="A6" s="163"/>
      <c r="B6" s="224"/>
      <c r="C6" s="224"/>
      <c r="E6" s="224"/>
      <c r="F6" s="224"/>
      <c r="G6" s="392" t="s">
        <v>416</v>
      </c>
      <c r="H6" s="224"/>
      <c r="I6" s="225"/>
      <c r="K6" s="224"/>
      <c r="L6" s="454"/>
      <c r="M6" s="454"/>
      <c r="N6" s="454"/>
      <c r="O6" s="149"/>
    </row>
    <row r="7" spans="1:26" ht="15" customHeight="1">
      <c r="A7" s="163"/>
      <c r="B7" s="163"/>
      <c r="C7" s="163"/>
      <c r="D7" s="163"/>
      <c r="E7" s="226"/>
      <c r="F7" s="226"/>
      <c r="G7" s="226"/>
      <c r="H7" s="214"/>
      <c r="I7" s="227"/>
      <c r="J7" s="228"/>
      <c r="K7" s="229"/>
      <c r="L7" s="455"/>
      <c r="M7" s="455"/>
      <c r="N7" s="455"/>
      <c r="O7" s="149"/>
    </row>
    <row r="8" spans="1:26" ht="15" customHeight="1">
      <c r="A8" s="163"/>
      <c r="B8" s="5"/>
      <c r="C8" s="383" t="s">
        <v>300</v>
      </c>
      <c r="D8" s="226"/>
      <c r="E8" s="5"/>
      <c r="F8" s="163"/>
      <c r="G8" s="226"/>
      <c r="H8" s="214"/>
      <c r="I8" s="231"/>
      <c r="J8" s="232"/>
      <c r="K8" s="229" t="s">
        <v>413</v>
      </c>
      <c r="L8" s="455"/>
      <c r="M8" s="455"/>
      <c r="N8" s="455"/>
      <c r="O8" s="149"/>
    </row>
    <row r="9" spans="1:26" ht="15" customHeight="1">
      <c r="A9" s="163"/>
      <c r="B9" s="5"/>
      <c r="C9" s="383"/>
      <c r="D9" s="780"/>
      <c r="E9" s="5"/>
      <c r="F9" s="163"/>
      <c r="G9" s="226"/>
      <c r="H9" s="214"/>
      <c r="I9" s="231"/>
      <c r="J9" s="232"/>
      <c r="K9" s="229"/>
      <c r="L9" s="455"/>
      <c r="M9" s="455"/>
      <c r="N9" s="455"/>
      <c r="O9" s="149"/>
    </row>
    <row r="10" spans="1:26" ht="15" customHeight="1">
      <c r="A10" s="163"/>
      <c r="B10" s="5"/>
      <c r="C10" s="383"/>
      <c r="D10" s="226"/>
      <c r="E10" s="5"/>
      <c r="F10" s="163"/>
      <c r="G10" s="226"/>
      <c r="H10" s="214"/>
      <c r="I10" s="231"/>
      <c r="J10" s="232"/>
      <c r="K10" s="229"/>
      <c r="L10" s="455"/>
      <c r="M10" s="455"/>
      <c r="N10" s="455"/>
      <c r="O10" s="149"/>
    </row>
    <row r="11" spans="1:26" ht="15.75" customHeight="1">
      <c r="A11" s="163"/>
      <c r="B11" s="233"/>
      <c r="C11" s="233"/>
      <c r="D11" s="237"/>
      <c r="E11" s="233"/>
      <c r="F11" s="233"/>
      <c r="G11" s="234"/>
      <c r="H11" s="235"/>
      <c r="I11" s="233"/>
      <c r="J11" s="236" t="s">
        <v>423</v>
      </c>
      <c r="K11" s="238"/>
      <c r="L11" s="456"/>
      <c r="M11" s="456"/>
      <c r="N11" s="456"/>
      <c r="O11" s="149"/>
    </row>
    <row r="12" spans="1:26" s="247" customFormat="1" ht="15.75" customHeight="1" thickBot="1">
      <c r="A12" s="163"/>
      <c r="B12" s="239"/>
      <c r="C12" s="233"/>
      <c r="D12" s="233"/>
      <c r="E12" s="235"/>
      <c r="F12" s="235"/>
      <c r="G12" s="235"/>
      <c r="H12" s="235"/>
      <c r="I12" s="235"/>
      <c r="J12" s="686"/>
      <c r="K12" s="240"/>
      <c r="L12" s="457"/>
      <c r="M12" s="739" t="s">
        <v>414</v>
      </c>
      <c r="N12" s="149"/>
      <c r="O12" s="149"/>
      <c r="P12" s="149"/>
      <c r="Q12" s="149"/>
      <c r="R12" s="149"/>
      <c r="S12" s="149"/>
      <c r="T12" s="149"/>
      <c r="U12" s="149"/>
      <c r="V12" s="149"/>
      <c r="W12" s="149"/>
      <c r="X12" s="149"/>
      <c r="Y12" s="149"/>
      <c r="Z12" s="149"/>
    </row>
    <row r="13" spans="1:26" s="247" customFormat="1" ht="42.75" customHeight="1" thickBot="1">
      <c r="A13" s="396"/>
      <c r="B13" s="689" t="s">
        <v>137</v>
      </c>
      <c r="C13" s="690" t="s">
        <v>138</v>
      </c>
      <c r="D13" s="689" t="s">
        <v>139</v>
      </c>
      <c r="E13" s="689" t="s">
        <v>140</v>
      </c>
      <c r="F13" s="689" t="s">
        <v>141</v>
      </c>
      <c r="G13" s="689" t="s">
        <v>142</v>
      </c>
      <c r="H13" s="691" t="s">
        <v>126</v>
      </c>
      <c r="I13" s="689" t="s">
        <v>143</v>
      </c>
      <c r="J13" s="684" t="s">
        <v>304</v>
      </c>
      <c r="K13" s="245" t="s">
        <v>145</v>
      </c>
      <c r="L13" s="458" t="s">
        <v>292</v>
      </c>
      <c r="M13" s="685" t="s">
        <v>305</v>
      </c>
      <c r="N13" s="560"/>
      <c r="Q13" s="247">
        <v>606</v>
      </c>
      <c r="R13" s="137"/>
    </row>
    <row r="14" spans="1:26" s="247" customFormat="1" ht="15" customHeight="1" thickBot="1">
      <c r="A14" s="396"/>
      <c r="B14" s="248" t="s">
        <v>148</v>
      </c>
      <c r="C14" s="249">
        <v>25</v>
      </c>
      <c r="D14" s="517" t="s">
        <v>267</v>
      </c>
      <c r="E14" s="250">
        <v>1</v>
      </c>
      <c r="F14" s="250">
        <v>1111</v>
      </c>
      <c r="G14" s="694">
        <v>10430</v>
      </c>
      <c r="H14" s="251"/>
      <c r="I14" s="252"/>
      <c r="J14" s="687" t="s">
        <v>308</v>
      </c>
      <c r="K14" s="254">
        <f>SUM(K15+K16+K17+K18)</f>
        <v>0</v>
      </c>
      <c r="L14" s="459">
        <f>SUM(L15+L16+L17+L18)</f>
        <v>0</v>
      </c>
      <c r="M14" s="459"/>
      <c r="N14" s="459"/>
      <c r="Q14" s="247">
        <v>30000</v>
      </c>
    </row>
    <row r="15" spans="1:26" s="247" customFormat="1" ht="15" customHeight="1">
      <c r="A15" s="396"/>
      <c r="B15" s="255"/>
      <c r="C15" s="256"/>
      <c r="D15" s="256"/>
      <c r="E15" s="256">
        <v>1</v>
      </c>
      <c r="F15" s="256"/>
      <c r="G15" s="256"/>
      <c r="H15" s="257"/>
      <c r="I15" s="258"/>
      <c r="J15" s="259" t="s">
        <v>309</v>
      </c>
      <c r="K15" s="260"/>
      <c r="L15" s="460"/>
      <c r="M15" s="460"/>
      <c r="N15" s="730"/>
      <c r="O15" s="767">
        <v>42579</v>
      </c>
      <c r="P15" s="436"/>
      <c r="Q15" s="768"/>
      <c r="R15" s="298"/>
      <c r="T15" s="298"/>
      <c r="U15" s="298"/>
      <c r="V15" s="298"/>
    </row>
    <row r="16" spans="1:26" s="247" customFormat="1" ht="15" customHeight="1">
      <c r="A16" s="396"/>
      <c r="B16" s="262"/>
      <c r="C16" s="263"/>
      <c r="D16" s="263"/>
      <c r="E16" s="263">
        <v>5</v>
      </c>
      <c r="F16" s="263"/>
      <c r="G16" s="263"/>
      <c r="H16" s="264"/>
      <c r="I16" s="265"/>
      <c r="J16" s="266" t="s">
        <v>310</v>
      </c>
      <c r="K16" s="267"/>
      <c r="L16" s="461"/>
      <c r="M16" s="461"/>
      <c r="N16" s="561"/>
      <c r="O16" s="769">
        <v>8170</v>
      </c>
      <c r="P16" s="181"/>
      <c r="Q16" s="770"/>
    </row>
    <row r="17" spans="1:26" s="247" customFormat="1" ht="15" customHeight="1">
      <c r="A17" s="396"/>
      <c r="B17" s="262"/>
      <c r="C17" s="263"/>
      <c r="D17" s="263"/>
      <c r="E17" s="263">
        <v>5</v>
      </c>
      <c r="F17" s="263"/>
      <c r="G17" s="263"/>
      <c r="H17" s="264"/>
      <c r="I17" s="265"/>
      <c r="J17" s="266" t="s">
        <v>311</v>
      </c>
      <c r="K17" s="267"/>
      <c r="L17" s="461"/>
      <c r="M17" s="461"/>
      <c r="N17" s="561"/>
      <c r="O17" s="769">
        <v>50749</v>
      </c>
      <c r="P17" s="181"/>
      <c r="Q17" s="770"/>
      <c r="R17" s="298"/>
    </row>
    <row r="18" spans="1:26" s="247" customFormat="1" ht="18" customHeight="1" thickBot="1">
      <c r="A18" s="396"/>
      <c r="B18" s="269"/>
      <c r="C18" s="270"/>
      <c r="D18" s="270"/>
      <c r="E18" s="270">
        <v>6</v>
      </c>
      <c r="F18" s="270"/>
      <c r="G18" s="270"/>
      <c r="H18" s="271"/>
      <c r="I18" s="272"/>
      <c r="J18" s="273" t="s">
        <v>312</v>
      </c>
      <c r="K18" s="274"/>
      <c r="L18" s="462"/>
      <c r="M18" s="462"/>
      <c r="N18" s="561"/>
      <c r="O18" s="771">
        <v>17700</v>
      </c>
      <c r="P18" s="186"/>
      <c r="Q18" s="772"/>
      <c r="R18" s="298"/>
      <c r="U18" s="137"/>
    </row>
    <row r="19" spans="1:26" s="209" customFormat="1" ht="16.5" thickBot="1">
      <c r="A19" s="396"/>
      <c r="B19" s="276"/>
      <c r="C19" s="277"/>
      <c r="D19" s="277"/>
      <c r="E19" s="277"/>
      <c r="F19" s="277"/>
      <c r="G19" s="277"/>
      <c r="H19" s="277"/>
      <c r="I19" s="278"/>
      <c r="J19" s="688" t="s">
        <v>313</v>
      </c>
      <c r="K19" s="740">
        <f>SUM(K20+K35+K38+K117+K118)</f>
        <v>98449</v>
      </c>
      <c r="L19" s="574">
        <f>SUM(L20+L35+L38+L117+L118)</f>
        <v>29936462</v>
      </c>
      <c r="M19" s="574">
        <f>SUM(M20+M35+M38+M117+M118)</f>
        <v>29936462</v>
      </c>
      <c r="N19" s="731">
        <f>L19-M19</f>
        <v>0</v>
      </c>
      <c r="O19" s="773">
        <v>68449</v>
      </c>
      <c r="P19" s="774">
        <f>SUM(P15:P18)</f>
        <v>0</v>
      </c>
      <c r="Q19" s="775"/>
      <c r="S19" s="247"/>
      <c r="T19" s="298"/>
      <c r="U19" s="298"/>
      <c r="V19" s="298"/>
      <c r="W19" s="247"/>
      <c r="X19" s="247"/>
      <c r="Y19" s="247"/>
      <c r="Z19" s="247"/>
    </row>
    <row r="20" spans="1:26" s="247" customFormat="1" ht="13.5" thickBot="1">
      <c r="A20" s="383"/>
      <c r="B20" s="280"/>
      <c r="C20" s="281"/>
      <c r="D20" s="281"/>
      <c r="E20" s="281"/>
      <c r="F20" s="281"/>
      <c r="G20" s="281"/>
      <c r="H20" s="693">
        <v>600</v>
      </c>
      <c r="I20" s="283"/>
      <c r="J20" s="284" t="s">
        <v>314</v>
      </c>
      <c r="K20" s="285">
        <f>SUM(K21+K22+K23+K24+K25+K26+K27+K28+K29+K30+K31+K32+K33+K34)</f>
        <v>42579</v>
      </c>
      <c r="L20" s="285">
        <f>L21+L31+L34</f>
        <v>16194165</v>
      </c>
      <c r="M20" s="719">
        <f>M21+M31+M34</f>
        <v>16194165</v>
      </c>
      <c r="N20" s="285"/>
      <c r="P20" s="298"/>
      <c r="R20" s="209"/>
      <c r="S20" s="286"/>
      <c r="T20" s="286"/>
      <c r="U20" s="286"/>
      <c r="V20" s="298"/>
      <c r="W20" s="209"/>
      <c r="X20" s="209"/>
      <c r="Y20" s="209"/>
      <c r="Z20" s="209"/>
    </row>
    <row r="21" spans="1:26" s="247" customFormat="1">
      <c r="A21" s="396"/>
      <c r="B21" s="287"/>
      <c r="C21" s="288"/>
      <c r="D21" s="288"/>
      <c r="E21" s="288"/>
      <c r="F21" s="288"/>
      <c r="G21" s="288"/>
      <c r="H21" s="289"/>
      <c r="I21" s="290">
        <v>600.1</v>
      </c>
      <c r="J21" s="696" t="s">
        <v>315</v>
      </c>
      <c r="K21" s="463">
        <v>42579</v>
      </c>
      <c r="L21" s="747">
        <f>SUM(L22:L26)</f>
        <v>16194165</v>
      </c>
      <c r="M21" s="747">
        <f>SUM(M22:M26)</f>
        <v>16194165</v>
      </c>
      <c r="N21" s="757"/>
      <c r="R21" s="209"/>
      <c r="V21" s="298"/>
    </row>
    <row r="22" spans="1:26" s="247" customFormat="1">
      <c r="A22" s="396"/>
      <c r="B22" s="292"/>
      <c r="C22" s="293"/>
      <c r="D22" s="293"/>
      <c r="E22" s="293"/>
      <c r="F22" s="293"/>
      <c r="G22" s="293"/>
      <c r="H22" s="294"/>
      <c r="I22" s="295">
        <v>600.1001</v>
      </c>
      <c r="J22" s="697" t="s">
        <v>316</v>
      </c>
      <c r="K22" s="297"/>
      <c r="L22" s="464">
        <f>666929+685500+672810+679000+6500+572000+13000</f>
        <v>3295739</v>
      </c>
      <c r="M22" s="464">
        <f>666929+685500+672810+679000+6500+572000+13000</f>
        <v>3295739</v>
      </c>
      <c r="N22" s="562"/>
      <c r="O22" s="209" t="s">
        <v>156</v>
      </c>
      <c r="R22" s="718"/>
      <c r="V22" s="298"/>
    </row>
    <row r="23" spans="1:26" s="247" customFormat="1">
      <c r="A23" s="396"/>
      <c r="B23" s="292"/>
      <c r="C23" s="293"/>
      <c r="D23" s="293"/>
      <c r="E23" s="293"/>
      <c r="F23" s="293"/>
      <c r="G23" s="293"/>
      <c r="H23" s="294"/>
      <c r="I23" s="295">
        <v>600.10019999999997</v>
      </c>
      <c r="J23" s="697" t="s">
        <v>317</v>
      </c>
      <c r="K23" s="297"/>
      <c r="L23" s="464">
        <v>25320</v>
      </c>
      <c r="M23" s="464">
        <v>25320</v>
      </c>
      <c r="N23" s="562"/>
      <c r="O23" s="286"/>
      <c r="T23" s="298"/>
      <c r="V23" s="298"/>
    </row>
    <row r="24" spans="1:26" s="247" customFormat="1">
      <c r="A24" s="396"/>
      <c r="B24" s="292"/>
      <c r="C24" s="293"/>
      <c r="D24" s="293"/>
      <c r="E24" s="293"/>
      <c r="F24" s="293"/>
      <c r="G24" s="293"/>
      <c r="H24" s="294"/>
      <c r="I24" s="295">
        <v>600.10029999999995</v>
      </c>
      <c r="J24" s="697" t="s">
        <v>318</v>
      </c>
      <c r="K24" s="297"/>
      <c r="L24" s="464">
        <f>181456+182313+181941+182547+1560+185407+6500</f>
        <v>921724</v>
      </c>
      <c r="M24" s="464">
        <f>181456+182313+181941+182547+1560+185407+6500</f>
        <v>921724</v>
      </c>
      <c r="N24" s="562"/>
      <c r="O24" s="286" t="s">
        <v>417</v>
      </c>
      <c r="Q24" s="718">
        <v>78273</v>
      </c>
      <c r="R24" s="718" t="s">
        <v>408</v>
      </c>
    </row>
    <row r="25" spans="1:26" s="247" customFormat="1">
      <c r="A25" s="396"/>
      <c r="B25" s="292"/>
      <c r="C25" s="293"/>
      <c r="D25" s="293"/>
      <c r="E25" s="293"/>
      <c r="F25" s="293"/>
      <c r="G25" s="293"/>
      <c r="H25" s="294"/>
      <c r="I25" s="295">
        <v>600.10050000000001</v>
      </c>
      <c r="J25" s="697" t="s">
        <v>319</v>
      </c>
      <c r="K25" s="297"/>
      <c r="L25" s="464">
        <f>2444319+2246700+2203845+2224750+21950+2360200+55100</f>
        <v>11556864</v>
      </c>
      <c r="M25" s="464">
        <f>2444319+2246700+2203845+2224750+21950+2360200+55100</f>
        <v>11556864</v>
      </c>
      <c r="N25" s="562"/>
      <c r="Q25" s="718">
        <v>112001</v>
      </c>
      <c r="R25" s="718" t="s">
        <v>407</v>
      </c>
    </row>
    <row r="26" spans="1:26" s="247" customFormat="1">
      <c r="A26" s="396"/>
      <c r="B26" s="292"/>
      <c r="C26" s="293"/>
      <c r="D26" s="293"/>
      <c r="E26" s="293"/>
      <c r="F26" s="293"/>
      <c r="G26" s="293"/>
      <c r="H26" s="294"/>
      <c r="I26" s="295"/>
      <c r="J26" s="697" t="s">
        <v>326</v>
      </c>
      <c r="K26" s="297"/>
      <c r="L26" s="766">
        <f>12925+12925+12925+78398+112001+12925+12925+106723+32771</f>
        <v>394518</v>
      </c>
      <c r="M26" s="766">
        <f>12925+12925+12925+78398+112001+48392+12925+46399+12925+44703</f>
        <v>394518</v>
      </c>
      <c r="N26" s="562"/>
      <c r="O26" s="796" t="s">
        <v>418</v>
      </c>
      <c r="Q26" s="718">
        <v>78398</v>
      </c>
      <c r="R26" s="718" t="s">
        <v>424</v>
      </c>
    </row>
    <row r="27" spans="1:26" s="247" customFormat="1">
      <c r="A27" s="396"/>
      <c r="B27" s="299"/>
      <c r="C27" s="293"/>
      <c r="D27" s="293"/>
      <c r="E27" s="293"/>
      <c r="F27" s="293"/>
      <c r="G27" s="293"/>
      <c r="H27" s="294"/>
      <c r="I27" s="295">
        <v>600.20000000000005</v>
      </c>
      <c r="J27" s="697" t="s">
        <v>320</v>
      </c>
      <c r="K27" s="297"/>
      <c r="L27" s="464"/>
      <c r="M27" s="464"/>
      <c r="N27" s="562"/>
    </row>
    <row r="28" spans="1:26" s="247" customFormat="1">
      <c r="A28" s="396"/>
      <c r="B28" s="299"/>
      <c r="C28" s="293"/>
      <c r="D28" s="293"/>
      <c r="E28" s="293"/>
      <c r="F28" s="293"/>
      <c r="G28" s="293"/>
      <c r="H28" s="294"/>
      <c r="I28" s="295">
        <v>600.21</v>
      </c>
      <c r="J28" s="697" t="s">
        <v>321</v>
      </c>
      <c r="K28" s="297"/>
      <c r="L28" s="464"/>
      <c r="M28" s="464"/>
      <c r="N28" s="562"/>
      <c r="O28" s="756" t="s">
        <v>88</v>
      </c>
      <c r="P28" s="756" t="s">
        <v>428</v>
      </c>
      <c r="Q28" s="785" t="s">
        <v>425</v>
      </c>
      <c r="R28" s="756" t="s">
        <v>425</v>
      </c>
      <c r="S28" s="795"/>
      <c r="T28" s="749"/>
      <c r="U28" s="209"/>
      <c r="V28" s="298"/>
    </row>
    <row r="29" spans="1:26" s="247" customFormat="1">
      <c r="A29" s="396"/>
      <c r="B29" s="299"/>
      <c r="C29" s="293"/>
      <c r="D29" s="293"/>
      <c r="E29" s="293"/>
      <c r="F29" s="293"/>
      <c r="G29" s="293"/>
      <c r="H29" s="294"/>
      <c r="I29" s="295">
        <v>600.22</v>
      </c>
      <c r="J29" s="697" t="s">
        <v>322</v>
      </c>
      <c r="K29" s="297"/>
      <c r="L29" s="464"/>
      <c r="M29" s="464"/>
      <c r="N29" s="562"/>
      <c r="O29" s="749">
        <v>3295739</v>
      </c>
      <c r="P29" s="748">
        <f>572000+13000</f>
        <v>585000</v>
      </c>
      <c r="Q29" s="752">
        <f>O29-P29</f>
        <v>2710739</v>
      </c>
      <c r="R29" s="791">
        <v>2711</v>
      </c>
      <c r="U29" s="749"/>
      <c r="V29" s="748"/>
    </row>
    <row r="30" spans="1:26" s="247" customFormat="1">
      <c r="A30" s="396"/>
      <c r="B30" s="299"/>
      <c r="C30" s="293"/>
      <c r="D30" s="293"/>
      <c r="E30" s="293"/>
      <c r="F30" s="293"/>
      <c r="G30" s="293"/>
      <c r="H30" s="294"/>
      <c r="I30" s="295">
        <v>600.29</v>
      </c>
      <c r="J30" s="697" t="s">
        <v>323</v>
      </c>
      <c r="K30" s="297"/>
      <c r="L30" s="464"/>
      <c r="M30" s="464"/>
      <c r="N30" s="562"/>
      <c r="O30" s="749">
        <v>25320</v>
      </c>
      <c r="P30" s="748">
        <v>0</v>
      </c>
      <c r="Q30" s="752">
        <f>O30-P30</f>
        <v>25320</v>
      </c>
      <c r="R30" s="791">
        <v>25</v>
      </c>
      <c r="U30" s="749"/>
      <c r="V30" s="748"/>
      <c r="W30" s="209"/>
    </row>
    <row r="31" spans="1:26" s="247" customFormat="1">
      <c r="A31" s="396"/>
      <c r="B31" s="299"/>
      <c r="C31" s="293"/>
      <c r="D31" s="293"/>
      <c r="E31" s="293"/>
      <c r="F31" s="293"/>
      <c r="G31" s="293"/>
      <c r="H31" s="294"/>
      <c r="I31" s="295">
        <v>600.29999999999995</v>
      </c>
      <c r="J31" s="697" t="s">
        <v>324</v>
      </c>
      <c r="K31" s="297"/>
      <c r="L31" s="464"/>
      <c r="M31" s="464"/>
      <c r="N31" s="562"/>
      <c r="O31" s="749">
        <v>921724</v>
      </c>
      <c r="P31" s="748">
        <f>185407+6500</f>
        <v>191907</v>
      </c>
      <c r="Q31" s="752">
        <f>O31-P31</f>
        <v>729817</v>
      </c>
      <c r="R31" s="791">
        <v>730</v>
      </c>
      <c r="T31" s="784" t="s">
        <v>426</v>
      </c>
      <c r="U31" s="209" t="s">
        <v>427</v>
      </c>
    </row>
    <row r="32" spans="1:26" s="247" customFormat="1">
      <c r="A32" s="396"/>
      <c r="B32" s="299"/>
      <c r="C32" s="293"/>
      <c r="D32" s="293"/>
      <c r="E32" s="293"/>
      <c r="F32" s="293"/>
      <c r="G32" s="293"/>
      <c r="H32" s="294"/>
      <c r="I32" s="295">
        <v>600.30999999999995</v>
      </c>
      <c r="J32" s="697" t="s">
        <v>325</v>
      </c>
      <c r="K32" s="297"/>
      <c r="L32" s="464"/>
      <c r="M32" s="464"/>
      <c r="N32" s="562"/>
      <c r="O32" s="749">
        <v>11556864</v>
      </c>
      <c r="P32" s="748">
        <f>2360200+55100</f>
        <v>2415300</v>
      </c>
      <c r="Q32" s="752">
        <f>O32-P32</f>
        <v>9141564</v>
      </c>
      <c r="R32" s="791">
        <v>9142</v>
      </c>
      <c r="T32" s="784" t="s">
        <v>68</v>
      </c>
      <c r="U32" s="209" t="s">
        <v>425</v>
      </c>
    </row>
    <row r="33" spans="1:26" s="247" customFormat="1">
      <c r="A33" s="396"/>
      <c r="B33" s="299"/>
      <c r="C33" s="293"/>
      <c r="D33" s="293"/>
      <c r="E33" s="293"/>
      <c r="F33" s="293"/>
      <c r="G33" s="293"/>
      <c r="H33" s="294"/>
      <c r="I33" s="295"/>
      <c r="J33" s="697" t="s">
        <v>323</v>
      </c>
      <c r="K33" s="297"/>
      <c r="L33" s="465"/>
      <c r="M33" s="465"/>
      <c r="N33" s="563"/>
      <c r="O33" s="749">
        <v>394518</v>
      </c>
      <c r="P33" s="748">
        <f>12925+106723+32711</f>
        <v>152359</v>
      </c>
      <c r="Q33" s="752">
        <f>O33-P33</f>
        <v>242159</v>
      </c>
      <c r="R33" s="792">
        <v>290</v>
      </c>
      <c r="S33" s="298">
        <v>242099</v>
      </c>
      <c r="T33" s="298">
        <v>48392</v>
      </c>
      <c r="U33" s="298">
        <f>SUM(S33:T33)</f>
        <v>290491</v>
      </c>
      <c r="V33" s="786" t="s">
        <v>431</v>
      </c>
    </row>
    <row r="34" spans="1:26" s="209" customFormat="1" ht="13.5" thickBot="1">
      <c r="A34" s="396"/>
      <c r="B34" s="300"/>
      <c r="C34" s="301"/>
      <c r="D34" s="301"/>
      <c r="E34" s="301"/>
      <c r="F34" s="301"/>
      <c r="G34" s="301"/>
      <c r="H34" s="302"/>
      <c r="I34" s="303">
        <v>600.9</v>
      </c>
      <c r="J34" s="698" t="s">
        <v>327</v>
      </c>
      <c r="K34" s="305"/>
      <c r="L34" s="717"/>
      <c r="M34" s="717"/>
      <c r="N34" s="758"/>
      <c r="O34" s="749"/>
      <c r="P34" s="247"/>
      <c r="Q34" s="286">
        <f>SUM(Q29:Q33)</f>
        <v>12849599</v>
      </c>
      <c r="R34" s="787">
        <f>SUM(R29:R33)</f>
        <v>12898</v>
      </c>
      <c r="S34" s="298">
        <v>16194165</v>
      </c>
      <c r="T34" s="786" t="s">
        <v>430</v>
      </c>
      <c r="U34" s="247"/>
      <c r="V34" s="247"/>
      <c r="W34" s="247"/>
      <c r="X34" s="247"/>
      <c r="Y34" s="247"/>
      <c r="Z34" s="247"/>
    </row>
    <row r="35" spans="1:26" s="247" customFormat="1" ht="13.5" thickBot="1">
      <c r="A35" s="383"/>
      <c r="B35" s="280"/>
      <c r="C35" s="281"/>
      <c r="D35" s="281"/>
      <c r="E35" s="281"/>
      <c r="F35" s="281"/>
      <c r="G35" s="281"/>
      <c r="H35" s="693">
        <v>601</v>
      </c>
      <c r="I35" s="283"/>
      <c r="J35" s="284" t="s">
        <v>328</v>
      </c>
      <c r="K35" s="285">
        <v>8170</v>
      </c>
      <c r="L35" s="285">
        <f>SUM(L36:L37)</f>
        <v>2608201</v>
      </c>
      <c r="M35" s="719">
        <f>SUM(M36+M37)</f>
        <v>2608201</v>
      </c>
      <c r="N35" s="285"/>
      <c r="P35" s="319"/>
      <c r="Q35" s="753">
        <v>12897931</v>
      </c>
      <c r="R35" s="788"/>
      <c r="S35" s="298">
        <v>16161394</v>
      </c>
      <c r="T35" s="790" t="s">
        <v>429</v>
      </c>
    </row>
    <row r="36" spans="1:26" s="247" customFormat="1" ht="12.75" customHeight="1">
      <c r="A36" s="396"/>
      <c r="B36" s="306"/>
      <c r="C36" s="307"/>
      <c r="D36" s="307"/>
      <c r="E36" s="307"/>
      <c r="F36" s="307"/>
      <c r="G36" s="307"/>
      <c r="H36" s="308"/>
      <c r="I36" s="309">
        <v>601.01</v>
      </c>
      <c r="J36" s="696" t="s">
        <v>329</v>
      </c>
      <c r="K36" s="310"/>
      <c r="L36" s="463">
        <f>495849+459449+454858+459718+472821</f>
        <v>2342695</v>
      </c>
      <c r="M36" s="463">
        <f>495849+459449+454858+459718+472821</f>
        <v>2342695</v>
      </c>
      <c r="N36" s="562"/>
      <c r="O36" s="760">
        <v>106723</v>
      </c>
      <c r="P36" s="760" t="s">
        <v>419</v>
      </c>
      <c r="Q36" s="761"/>
      <c r="R36" s="759"/>
      <c r="S36" s="298">
        <f>S34-S35</f>
        <v>32771</v>
      </c>
      <c r="T36" s="790" t="s">
        <v>421</v>
      </c>
      <c r="U36" s="149"/>
      <c r="W36" s="209"/>
      <c r="X36" s="209"/>
      <c r="Y36" s="209"/>
      <c r="Z36" s="209"/>
    </row>
    <row r="37" spans="1:26" s="319" customFormat="1" ht="13.5" thickBot="1">
      <c r="A37" s="396"/>
      <c r="B37" s="300"/>
      <c r="C37" s="301"/>
      <c r="D37" s="301"/>
      <c r="E37" s="301"/>
      <c r="F37" s="301"/>
      <c r="G37" s="301"/>
      <c r="H37" s="302"/>
      <c r="I37" s="311">
        <v>601.11</v>
      </c>
      <c r="J37" s="698" t="s">
        <v>330</v>
      </c>
      <c r="K37" s="312"/>
      <c r="L37" s="467">
        <f>56201+52070+51549+52100+53586</f>
        <v>265506</v>
      </c>
      <c r="M37" s="467">
        <f>56201+52070+51549+52100+53586</f>
        <v>265506</v>
      </c>
      <c r="N37" s="562"/>
      <c r="O37" s="247"/>
      <c r="P37" s="247"/>
      <c r="Q37" s="793" t="s">
        <v>432</v>
      </c>
      <c r="S37" s="149"/>
      <c r="T37" s="247"/>
      <c r="U37" s="247"/>
      <c r="V37" s="247"/>
      <c r="W37" s="247"/>
      <c r="X37" s="247"/>
      <c r="Y37" s="247"/>
      <c r="Z37" s="247"/>
    </row>
    <row r="38" spans="1:26" ht="14.25" customHeight="1" thickBot="1">
      <c r="A38" s="397"/>
      <c r="B38" s="313"/>
      <c r="C38" s="314"/>
      <c r="D38" s="314"/>
      <c r="E38" s="314"/>
      <c r="F38" s="314"/>
      <c r="G38" s="314"/>
      <c r="H38" s="693">
        <v>602</v>
      </c>
      <c r="I38" s="316"/>
      <c r="J38" s="284" t="s">
        <v>170</v>
      </c>
      <c r="K38" s="285">
        <v>17700</v>
      </c>
      <c r="L38" s="285">
        <f>SUM(L39+L46+L59+L74+L79+L82+L91+L97+L104+L107)</f>
        <v>11104096</v>
      </c>
      <c r="M38" s="285">
        <f>SUM(M39+M46+M59+M74+M79+M82+M91+M97+M104+M107)</f>
        <v>11104096</v>
      </c>
      <c r="N38" s="318"/>
      <c r="O38" s="319"/>
      <c r="P38" s="319"/>
      <c r="Q38" s="285">
        <f>SUM(Q39+Q46+Q59+Q74+Q79+Q82+Q91+Q97+Q104+Q107)</f>
        <v>9490225</v>
      </c>
      <c r="T38" s="298"/>
      <c r="U38" s="298"/>
      <c r="V38" s="298"/>
      <c r="W38" s="247"/>
      <c r="X38" s="247"/>
      <c r="Y38" s="319"/>
      <c r="Z38" s="319"/>
    </row>
    <row r="39" spans="1:26" ht="12" customHeight="1" thickBot="1">
      <c r="A39" s="163"/>
      <c r="B39" s="320"/>
      <c r="C39" s="321"/>
      <c r="D39" s="321"/>
      <c r="E39" s="321"/>
      <c r="F39" s="321"/>
      <c r="G39" s="321"/>
      <c r="H39" s="322"/>
      <c r="I39" s="323">
        <v>6020</v>
      </c>
      <c r="J39" s="324" t="s">
        <v>331</v>
      </c>
      <c r="K39" s="472">
        <f>SUM(K40+K41+K42+K43+K44+K45)</f>
        <v>0</v>
      </c>
      <c r="L39" s="476">
        <f>SUM(L40+L41+L42+L43+L44+L45)</f>
        <v>733150</v>
      </c>
      <c r="M39" s="476">
        <f>SUM(M40+M41+M42+M43+M44+M45)</f>
        <v>733150</v>
      </c>
      <c r="N39" s="564"/>
      <c r="O39" s="762" t="s">
        <v>420</v>
      </c>
      <c r="P39" s="247"/>
      <c r="Q39" s="476">
        <f>SUM(Q40+Q41+Q42+Q43+Q44+Q45)</f>
        <v>733150</v>
      </c>
      <c r="T39" s="298"/>
      <c r="U39" s="286"/>
      <c r="V39" s="298"/>
      <c r="W39" s="247"/>
      <c r="X39" s="247"/>
    </row>
    <row r="40" spans="1:26" ht="12" customHeight="1">
      <c r="A40" s="163"/>
      <c r="B40" s="332"/>
      <c r="C40" s="333"/>
      <c r="D40" s="333"/>
      <c r="E40" s="333"/>
      <c r="F40" s="333"/>
      <c r="G40" s="333"/>
      <c r="H40" s="334"/>
      <c r="I40" s="335" t="s">
        <v>11</v>
      </c>
      <c r="J40" s="336" t="s">
        <v>172</v>
      </c>
      <c r="K40" s="337"/>
      <c r="L40" s="469">
        <v>223150</v>
      </c>
      <c r="M40" s="469">
        <v>223150</v>
      </c>
      <c r="N40" s="723"/>
      <c r="O40" s="149">
        <v>13000</v>
      </c>
      <c r="P40" s="209"/>
      <c r="Q40" s="469">
        <v>223150</v>
      </c>
      <c r="T40" s="298"/>
      <c r="U40" s="286"/>
      <c r="V40" s="298"/>
      <c r="W40" s="247"/>
      <c r="X40" s="247"/>
    </row>
    <row r="41" spans="1:26" ht="12" customHeight="1">
      <c r="A41" s="163"/>
      <c r="B41" s="352"/>
      <c r="C41" s="353"/>
      <c r="D41" s="353"/>
      <c r="E41" s="353"/>
      <c r="F41" s="353"/>
      <c r="G41" s="353"/>
      <c r="H41" s="354"/>
      <c r="I41" s="360">
        <v>602.02</v>
      </c>
      <c r="J41" s="361" t="s">
        <v>332</v>
      </c>
      <c r="K41" s="357"/>
      <c r="L41" s="473">
        <v>65000</v>
      </c>
      <c r="M41" s="473">
        <v>65000</v>
      </c>
      <c r="N41" s="565"/>
      <c r="O41" s="149">
        <v>6500</v>
      </c>
      <c r="Q41" s="473">
        <v>65000</v>
      </c>
    </row>
    <row r="42" spans="1:26" ht="12" customHeight="1">
      <c r="A42" s="163"/>
      <c r="B42" s="339"/>
      <c r="C42" s="340"/>
      <c r="D42" s="340"/>
      <c r="E42" s="340"/>
      <c r="F42" s="340"/>
      <c r="G42" s="340"/>
      <c r="H42" s="150"/>
      <c r="I42" s="341">
        <v>602.03</v>
      </c>
      <c r="J42" s="342" t="s">
        <v>333</v>
      </c>
      <c r="K42" s="343"/>
      <c r="L42" s="470">
        <v>37000</v>
      </c>
      <c r="M42" s="470">
        <v>37000</v>
      </c>
      <c r="N42" s="565"/>
      <c r="O42" s="149">
        <v>55100</v>
      </c>
      <c r="Q42" s="470">
        <v>37000</v>
      </c>
    </row>
    <row r="43" spans="1:26" ht="12" customHeight="1">
      <c r="A43" s="163"/>
      <c r="B43" s="339"/>
      <c r="C43" s="340"/>
      <c r="D43" s="340"/>
      <c r="E43" s="340"/>
      <c r="F43" s="340"/>
      <c r="G43" s="340"/>
      <c r="H43" s="150"/>
      <c r="I43" s="341">
        <v>602.04</v>
      </c>
      <c r="J43" s="342" t="s">
        <v>334</v>
      </c>
      <c r="K43" s="343"/>
      <c r="L43" s="470"/>
      <c r="M43" s="470"/>
      <c r="N43" s="565"/>
      <c r="O43" s="209">
        <f>SUM(O40:O42)</f>
        <v>74600</v>
      </c>
      <c r="Q43" s="470"/>
    </row>
    <row r="44" spans="1:26" ht="12" customHeight="1">
      <c r="A44" s="163"/>
      <c r="B44" s="339"/>
      <c r="C44" s="340"/>
      <c r="D44" s="340"/>
      <c r="E44" s="340"/>
      <c r="F44" s="340"/>
      <c r="G44" s="340"/>
      <c r="H44" s="150"/>
      <c r="I44" s="341">
        <v>602.04999999999995</v>
      </c>
      <c r="J44" s="342" t="s">
        <v>176</v>
      </c>
      <c r="K44" s="343"/>
      <c r="L44" s="470"/>
      <c r="M44" s="470"/>
      <c r="N44" s="565"/>
      <c r="O44" s="209"/>
      <c r="Q44" s="470"/>
    </row>
    <row r="45" spans="1:26" ht="13.5" thickBot="1">
      <c r="A45" s="163"/>
      <c r="B45" s="345"/>
      <c r="C45" s="346"/>
      <c r="D45" s="346"/>
      <c r="E45" s="346"/>
      <c r="F45" s="346"/>
      <c r="G45" s="346"/>
      <c r="H45" s="164"/>
      <c r="I45" s="347">
        <v>602.09</v>
      </c>
      <c r="J45" s="348" t="s">
        <v>335</v>
      </c>
      <c r="K45" s="349"/>
      <c r="L45" s="471">
        <v>408000</v>
      </c>
      <c r="M45" s="471">
        <v>408000</v>
      </c>
      <c r="N45" s="565"/>
      <c r="O45" s="149"/>
      <c r="P45" s="247"/>
      <c r="Q45" s="471">
        <v>408000</v>
      </c>
    </row>
    <row r="46" spans="1:26" ht="12" customHeight="1" thickBot="1">
      <c r="A46" s="163"/>
      <c r="B46" s="320"/>
      <c r="C46" s="321"/>
      <c r="D46" s="321"/>
      <c r="E46" s="321"/>
      <c r="F46" s="321"/>
      <c r="G46" s="321"/>
      <c r="H46" s="322"/>
      <c r="I46" s="323">
        <v>602.1</v>
      </c>
      <c r="J46" s="324" t="s">
        <v>336</v>
      </c>
      <c r="K46" s="351">
        <f>SUM(K47+K48+K49+K50+K51+K52+K53+K54+K55+K56+K57+K58)</f>
        <v>0</v>
      </c>
      <c r="L46" s="472">
        <f>SUM(L47+L48+L49+L50+L51+L52+L53+L54+L55+L56+L57+L58)</f>
        <v>0</v>
      </c>
      <c r="M46" s="472">
        <v>0</v>
      </c>
      <c r="N46" s="472"/>
      <c r="O46" s="149"/>
      <c r="P46" s="247"/>
      <c r="Q46" s="472">
        <f>SUM(Q47+Q48+Q49+Q50+Q51+Q52+Q53+Q54+Q55+Q56+Q57+Q58)</f>
        <v>0</v>
      </c>
    </row>
    <row r="47" spans="1:26" ht="12" customHeight="1">
      <c r="A47" s="163"/>
      <c r="B47" s="352"/>
      <c r="C47" s="353"/>
      <c r="D47" s="353"/>
      <c r="E47" s="353"/>
      <c r="F47" s="353"/>
      <c r="G47" s="353"/>
      <c r="H47" s="354"/>
      <c r="I47" s="355">
        <v>602.1001</v>
      </c>
      <c r="J47" s="699" t="s">
        <v>337</v>
      </c>
      <c r="K47" s="357"/>
      <c r="L47" s="473"/>
      <c r="M47" s="473"/>
      <c r="N47" s="565"/>
      <c r="O47" s="149"/>
      <c r="P47" s="247"/>
      <c r="Q47" s="473"/>
    </row>
    <row r="48" spans="1:26" ht="12" customHeight="1">
      <c r="A48" s="163"/>
      <c r="B48" s="339"/>
      <c r="C48" s="340"/>
      <c r="D48" s="340"/>
      <c r="E48" s="340"/>
      <c r="F48" s="340"/>
      <c r="G48" s="340"/>
      <c r="H48" s="150"/>
      <c r="I48" s="358">
        <v>602.10019999999997</v>
      </c>
      <c r="J48" s="700" t="s">
        <v>338</v>
      </c>
      <c r="K48" s="343"/>
      <c r="L48" s="470"/>
      <c r="M48" s="470"/>
      <c r="N48" s="565"/>
      <c r="O48" s="149"/>
      <c r="P48" s="247"/>
      <c r="Q48" s="470"/>
    </row>
    <row r="49" spans="1:17" ht="12" customHeight="1">
      <c r="A49" s="163"/>
      <c r="B49" s="339"/>
      <c r="C49" s="340"/>
      <c r="D49" s="340"/>
      <c r="E49" s="340"/>
      <c r="F49" s="340"/>
      <c r="G49" s="340"/>
      <c r="H49" s="150"/>
      <c r="I49" s="358">
        <v>602.10029999999995</v>
      </c>
      <c r="J49" s="700" t="s">
        <v>339</v>
      </c>
      <c r="K49" s="343"/>
      <c r="L49" s="470"/>
      <c r="M49" s="470"/>
      <c r="N49" s="565"/>
      <c r="O49" s="149"/>
      <c r="Q49" s="470"/>
    </row>
    <row r="50" spans="1:17" ht="12" customHeight="1">
      <c r="A50" s="163"/>
      <c r="B50" s="339"/>
      <c r="C50" s="340"/>
      <c r="D50" s="340"/>
      <c r="E50" s="340"/>
      <c r="F50" s="340"/>
      <c r="G50" s="340"/>
      <c r="H50" s="150"/>
      <c r="I50" s="358">
        <v>602.10040000000004</v>
      </c>
      <c r="J50" s="700" t="s">
        <v>340</v>
      </c>
      <c r="K50" s="343"/>
      <c r="L50" s="470"/>
      <c r="M50" s="470"/>
      <c r="N50" s="565"/>
      <c r="O50" s="149"/>
      <c r="Q50" s="470"/>
    </row>
    <row r="51" spans="1:17" ht="12" customHeight="1">
      <c r="A51" s="163"/>
      <c r="B51" s="339"/>
      <c r="C51" s="340"/>
      <c r="D51" s="340"/>
      <c r="E51" s="340"/>
      <c r="F51" s="340"/>
      <c r="G51" s="340"/>
      <c r="H51" s="150"/>
      <c r="I51" s="358">
        <v>602.10050000000001</v>
      </c>
      <c r="J51" s="700" t="s">
        <v>341</v>
      </c>
      <c r="K51" s="343"/>
      <c r="L51" s="470"/>
      <c r="M51" s="470"/>
      <c r="N51" s="565"/>
      <c r="O51" s="149"/>
      <c r="Q51" s="470"/>
    </row>
    <row r="52" spans="1:17" ht="12" customHeight="1">
      <c r="A52" s="163"/>
      <c r="B52" s="339"/>
      <c r="C52" s="340"/>
      <c r="D52" s="340"/>
      <c r="E52" s="340"/>
      <c r="F52" s="340"/>
      <c r="G52" s="340"/>
      <c r="H52" s="150"/>
      <c r="I52" s="358">
        <v>602.10059999999999</v>
      </c>
      <c r="J52" s="700" t="s">
        <v>342</v>
      </c>
      <c r="K52" s="343"/>
      <c r="L52" s="470"/>
      <c r="M52" s="470"/>
      <c r="N52" s="565"/>
      <c r="O52" s="149"/>
      <c r="Q52" s="470"/>
    </row>
    <row r="53" spans="1:17" ht="12" customHeight="1">
      <c r="A53" s="163"/>
      <c r="B53" s="339"/>
      <c r="C53" s="340"/>
      <c r="D53" s="340"/>
      <c r="E53" s="340"/>
      <c r="F53" s="340"/>
      <c r="G53" s="340"/>
      <c r="H53" s="150"/>
      <c r="I53" s="358">
        <v>602.10069999999996</v>
      </c>
      <c r="J53" s="700" t="s">
        <v>185</v>
      </c>
      <c r="K53" s="343"/>
      <c r="L53" s="470"/>
      <c r="M53" s="470"/>
      <c r="N53" s="565"/>
      <c r="O53" s="149"/>
      <c r="Q53" s="470"/>
    </row>
    <row r="54" spans="1:17" ht="12" customHeight="1">
      <c r="A54" s="163"/>
      <c r="B54" s="339"/>
      <c r="C54" s="340"/>
      <c r="D54" s="340"/>
      <c r="E54" s="340"/>
      <c r="F54" s="340"/>
      <c r="G54" s="340"/>
      <c r="H54" s="150"/>
      <c r="I54" s="358">
        <v>602.10080000000005</v>
      </c>
      <c r="J54" s="700" t="s">
        <v>343</v>
      </c>
      <c r="K54" s="343"/>
      <c r="L54" s="470"/>
      <c r="M54" s="470"/>
      <c r="N54" s="565"/>
      <c r="O54" s="149"/>
      <c r="Q54" s="470"/>
    </row>
    <row r="55" spans="1:17" ht="12" customHeight="1">
      <c r="A55" s="163"/>
      <c r="B55" s="339"/>
      <c r="C55" s="340"/>
      <c r="D55" s="340"/>
      <c r="E55" s="340"/>
      <c r="F55" s="340"/>
      <c r="G55" s="340"/>
      <c r="H55" s="150"/>
      <c r="I55" s="358">
        <v>602.10090000000002</v>
      </c>
      <c r="J55" s="700" t="s">
        <v>344</v>
      </c>
      <c r="K55" s="344"/>
      <c r="L55" s="474"/>
      <c r="M55" s="474"/>
      <c r="N55" s="567"/>
      <c r="O55" s="149"/>
      <c r="Q55" s="474"/>
    </row>
    <row r="56" spans="1:17" ht="12" customHeight="1">
      <c r="A56" s="163"/>
      <c r="B56" s="339"/>
      <c r="C56" s="340"/>
      <c r="D56" s="340"/>
      <c r="E56" s="340"/>
      <c r="F56" s="340"/>
      <c r="G56" s="340"/>
      <c r="H56" s="150"/>
      <c r="I56" s="358">
        <v>602.101</v>
      </c>
      <c r="J56" s="700" t="s">
        <v>345</v>
      </c>
      <c r="K56" s="344"/>
      <c r="L56" s="474"/>
      <c r="M56" s="474"/>
      <c r="N56" s="567"/>
      <c r="O56" s="149"/>
      <c r="Q56" s="474"/>
    </row>
    <row r="57" spans="1:17" ht="12" customHeight="1">
      <c r="A57" s="163"/>
      <c r="B57" s="339"/>
      <c r="C57" s="340"/>
      <c r="D57" s="340"/>
      <c r="E57" s="340"/>
      <c r="F57" s="340"/>
      <c r="G57" s="340"/>
      <c r="H57" s="150"/>
      <c r="I57" s="341">
        <v>602.10109999999997</v>
      </c>
      <c r="J57" s="700" t="s">
        <v>346</v>
      </c>
      <c r="K57" s="344"/>
      <c r="L57" s="474"/>
      <c r="M57" s="474"/>
      <c r="N57" s="567"/>
      <c r="O57" s="149"/>
      <c r="Q57" s="474"/>
    </row>
    <row r="58" spans="1:17" ht="13.5" thickBot="1">
      <c r="A58" s="163"/>
      <c r="B58" s="367"/>
      <c r="C58" s="368"/>
      <c r="D58" s="368"/>
      <c r="E58" s="368"/>
      <c r="F58" s="368"/>
      <c r="G58" s="368"/>
      <c r="H58" s="369"/>
      <c r="I58" s="370">
        <v>602.10990000000004</v>
      </c>
      <c r="J58" s="701" t="s">
        <v>347</v>
      </c>
      <c r="K58" s="378"/>
      <c r="L58" s="475"/>
      <c r="M58" s="475"/>
      <c r="N58" s="567"/>
      <c r="O58" s="149"/>
      <c r="Q58" s="475"/>
    </row>
    <row r="59" spans="1:17" ht="12" customHeight="1" thickBot="1">
      <c r="A59" s="163"/>
      <c r="B59" s="320"/>
      <c r="C59" s="321"/>
      <c r="D59" s="321"/>
      <c r="E59" s="321"/>
      <c r="F59" s="321"/>
      <c r="G59" s="321"/>
      <c r="H59" s="322"/>
      <c r="I59" s="323">
        <v>602.20000000000005</v>
      </c>
      <c r="J59" s="324" t="s">
        <v>348</v>
      </c>
      <c r="K59" s="351">
        <f>SUM(K60+K61+K62+K63+K64+K65+K66+K67+K68+K69+K70+K71+K72+K73)</f>
        <v>0</v>
      </c>
      <c r="L59" s="476">
        <f>SUM(L60+L61+L62+L65+L66+L67+L68+L69+L70+L71+L72+L73)</f>
        <v>1951769</v>
      </c>
      <c r="M59" s="722">
        <f>SUM(M60+M61+M62+M65+M66+M67+M68+M69+M70+M71+M72+M73)</f>
        <v>1951769</v>
      </c>
      <c r="N59" s="476"/>
      <c r="O59" s="149"/>
      <c r="Q59" s="476">
        <f>SUM(Q60+Q61+Q62+Q65+Q66+Q67+Q68+Q69+Q70+Q71+Q72+Q73)</f>
        <v>1743285</v>
      </c>
    </row>
    <row r="60" spans="1:17" ht="12" customHeight="1">
      <c r="A60" s="163"/>
      <c r="B60" s="352"/>
      <c r="C60" s="353"/>
      <c r="D60" s="353"/>
      <c r="E60" s="353"/>
      <c r="F60" s="353"/>
      <c r="G60" s="353"/>
      <c r="H60" s="354"/>
      <c r="I60" s="360">
        <v>602.20010000000002</v>
      </c>
      <c r="J60" s="361" t="s">
        <v>192</v>
      </c>
      <c r="K60" s="362"/>
      <c r="L60" s="755">
        <v>654908</v>
      </c>
      <c r="M60" s="755">
        <v>654908</v>
      </c>
      <c r="N60" s="568"/>
      <c r="O60" s="149"/>
      <c r="Q60" s="714">
        <v>558947</v>
      </c>
    </row>
    <row r="61" spans="1:17" ht="12" customHeight="1">
      <c r="A61" s="163"/>
      <c r="B61" s="339"/>
      <c r="C61" s="340"/>
      <c r="D61" s="340"/>
      <c r="E61" s="340"/>
      <c r="F61" s="340"/>
      <c r="G61" s="340"/>
      <c r="H61" s="150"/>
      <c r="I61" s="341">
        <v>602.2002</v>
      </c>
      <c r="J61" s="342" t="s">
        <v>349</v>
      </c>
      <c r="K61" s="344"/>
      <c r="L61" s="474">
        <v>0</v>
      </c>
      <c r="M61" s="474">
        <v>0</v>
      </c>
      <c r="N61" s="567"/>
      <c r="O61" s="149"/>
      <c r="Q61" s="474">
        <v>0</v>
      </c>
    </row>
    <row r="62" spans="1:17" ht="12" customHeight="1">
      <c r="A62" s="163"/>
      <c r="B62" s="339"/>
      <c r="C62" s="340"/>
      <c r="D62" s="340"/>
      <c r="E62" s="340"/>
      <c r="F62" s="340"/>
      <c r="G62" s="340"/>
      <c r="H62" s="150"/>
      <c r="I62" s="341">
        <v>602.20029999999997</v>
      </c>
      <c r="J62" s="342" t="s">
        <v>350</v>
      </c>
      <c r="K62" s="344"/>
      <c r="L62" s="478">
        <f>L63+L64</f>
        <v>725017</v>
      </c>
      <c r="M62" s="478">
        <f>M63+M64</f>
        <v>725017</v>
      </c>
      <c r="N62" s="569"/>
      <c r="O62" s="149"/>
      <c r="Q62" s="478">
        <f>Q63+Q64</f>
        <v>662694</v>
      </c>
    </row>
    <row r="63" spans="1:17" ht="13.5" customHeight="1">
      <c r="A63" s="163"/>
      <c r="B63" s="339"/>
      <c r="C63" s="340"/>
      <c r="D63" s="340"/>
      <c r="E63" s="340"/>
      <c r="F63" s="340"/>
      <c r="G63" s="340"/>
      <c r="H63" s="150"/>
      <c r="I63" s="341"/>
      <c r="J63" s="363" t="s">
        <v>195</v>
      </c>
      <c r="K63" s="344"/>
      <c r="L63" s="764">
        <f>122256+121920+101178+89960+95779+37000</f>
        <v>568093</v>
      </c>
      <c r="M63" s="764">
        <f>122256+121920+101178+89960+95779+37000</f>
        <v>568093</v>
      </c>
      <c r="N63" s="570"/>
      <c r="O63" s="149"/>
      <c r="P63" s="750"/>
      <c r="Q63" s="715">
        <f>122256+121920+101178+89960+95779</f>
        <v>531093</v>
      </c>
    </row>
    <row r="64" spans="1:17" ht="12" customHeight="1">
      <c r="A64" s="163"/>
      <c r="B64" s="339"/>
      <c r="C64" s="340"/>
      <c r="D64" s="340"/>
      <c r="E64" s="340"/>
      <c r="F64" s="340"/>
      <c r="G64" s="340"/>
      <c r="H64" s="150"/>
      <c r="I64" s="341"/>
      <c r="J64" s="363" t="s">
        <v>196</v>
      </c>
      <c r="K64" s="344"/>
      <c r="L64" s="765">
        <f>31811+33999+28125+20159+17507+25323</f>
        <v>156924</v>
      </c>
      <c r="M64" s="765">
        <f>31811+33999+28125+20159+17507+25323</f>
        <v>156924</v>
      </c>
      <c r="N64" s="571"/>
      <c r="O64" s="149"/>
      <c r="P64" s="751"/>
      <c r="Q64" s="479">
        <f>31811+33999+28125+17507+20159</f>
        <v>131601</v>
      </c>
    </row>
    <row r="65" spans="1:20" ht="12" customHeight="1">
      <c r="A65" s="163"/>
      <c r="B65" s="339"/>
      <c r="C65" s="340"/>
      <c r="D65" s="340"/>
      <c r="E65" s="340"/>
      <c r="F65" s="340"/>
      <c r="G65" s="340"/>
      <c r="H65" s="150"/>
      <c r="I65" s="341">
        <v>602.20039999999995</v>
      </c>
      <c r="J65" s="342" t="s">
        <v>351</v>
      </c>
      <c r="K65" s="344"/>
      <c r="L65" s="754">
        <v>253044</v>
      </c>
      <c r="M65" s="754">
        <v>253044</v>
      </c>
      <c r="N65" s="572"/>
      <c r="O65" s="149"/>
      <c r="Q65" s="716">
        <v>253044</v>
      </c>
    </row>
    <row r="66" spans="1:20" ht="12" customHeight="1">
      <c r="A66" s="163"/>
      <c r="B66" s="339"/>
      <c r="C66" s="340"/>
      <c r="D66" s="340"/>
      <c r="E66" s="340"/>
      <c r="F66" s="340"/>
      <c r="G66" s="340"/>
      <c r="H66" s="150"/>
      <c r="I66" s="341">
        <v>602.20050000000003</v>
      </c>
      <c r="J66" s="342" t="s">
        <v>352</v>
      </c>
      <c r="K66" s="344"/>
      <c r="L66" s="474">
        <v>225000</v>
      </c>
      <c r="M66" s="474">
        <v>225000</v>
      </c>
      <c r="N66" s="567"/>
      <c r="O66" s="512"/>
      <c r="P66" s="512"/>
      <c r="Q66" s="474">
        <v>175000</v>
      </c>
      <c r="S66" s="512"/>
      <c r="T66" s="512"/>
    </row>
    <row r="67" spans="1:20" ht="12" customHeight="1">
      <c r="A67" s="163"/>
      <c r="B67" s="339"/>
      <c r="C67" s="340"/>
      <c r="D67" s="340"/>
      <c r="E67" s="340"/>
      <c r="F67" s="340"/>
      <c r="G67" s="340"/>
      <c r="H67" s="150"/>
      <c r="I67" s="341">
        <v>602.20060000000001</v>
      </c>
      <c r="J67" s="342" t="s">
        <v>353</v>
      </c>
      <c r="K67" s="344"/>
      <c r="L67" s="474"/>
      <c r="M67" s="474"/>
      <c r="N67" s="567"/>
      <c r="O67" s="512"/>
      <c r="P67" s="512"/>
      <c r="Q67" s="474"/>
    </row>
    <row r="68" spans="1:20" ht="12" customHeight="1">
      <c r="A68" s="163"/>
      <c r="B68" s="339"/>
      <c r="C68" s="340"/>
      <c r="D68" s="340"/>
      <c r="E68" s="340"/>
      <c r="F68" s="340"/>
      <c r="G68" s="340"/>
      <c r="H68" s="150"/>
      <c r="I68" s="341">
        <v>602.20069999999998</v>
      </c>
      <c r="J68" s="342" t="s">
        <v>354</v>
      </c>
      <c r="K68" s="344"/>
      <c r="L68" s="745">
        <v>200</v>
      </c>
      <c r="M68" s="745">
        <v>200</v>
      </c>
      <c r="N68" s="567"/>
      <c r="O68" s="512"/>
      <c r="P68" s="512"/>
      <c r="Q68" s="474"/>
    </row>
    <row r="69" spans="1:20" ht="12" customHeight="1">
      <c r="A69" s="163"/>
      <c r="B69" s="339"/>
      <c r="C69" s="340"/>
      <c r="D69" s="340"/>
      <c r="E69" s="340"/>
      <c r="F69" s="340"/>
      <c r="G69" s="340"/>
      <c r="H69" s="150"/>
      <c r="I69" s="341">
        <v>602.20079999999996</v>
      </c>
      <c r="J69" s="342" t="s">
        <v>355</v>
      </c>
      <c r="K69" s="344"/>
      <c r="L69" s="474"/>
      <c r="M69" s="474"/>
      <c r="N69" s="567"/>
      <c r="O69" s="512"/>
      <c r="P69" s="512"/>
      <c r="Q69" s="474"/>
    </row>
    <row r="70" spans="1:20" ht="12" customHeight="1">
      <c r="A70" s="163"/>
      <c r="B70" s="339"/>
      <c r="C70" s="340"/>
      <c r="D70" s="340"/>
      <c r="E70" s="340"/>
      <c r="F70" s="340"/>
      <c r="G70" s="340"/>
      <c r="H70" s="150"/>
      <c r="I70" s="341">
        <v>602.20090000000005</v>
      </c>
      <c r="J70" s="342" t="s">
        <v>356</v>
      </c>
      <c r="K70" s="344"/>
      <c r="L70" s="474"/>
      <c r="M70" s="474"/>
      <c r="N70" s="567"/>
      <c r="O70" s="512"/>
      <c r="P70" s="512"/>
      <c r="Q70" s="474"/>
    </row>
    <row r="71" spans="1:20" ht="12" customHeight="1">
      <c r="A71" s="163"/>
      <c r="B71" s="339"/>
      <c r="C71" s="340"/>
      <c r="D71" s="340"/>
      <c r="E71" s="340"/>
      <c r="F71" s="340"/>
      <c r="G71" s="340"/>
      <c r="H71" s="150"/>
      <c r="I71" s="341">
        <v>602.20100000000002</v>
      </c>
      <c r="J71" s="342" t="s">
        <v>357</v>
      </c>
      <c r="K71" s="344"/>
      <c r="L71" s="474"/>
      <c r="M71" s="474"/>
      <c r="N71" s="567"/>
      <c r="O71" s="512"/>
      <c r="P71" s="512"/>
      <c r="Q71" s="474"/>
    </row>
    <row r="72" spans="1:20" ht="12" customHeight="1">
      <c r="A72" s="163"/>
      <c r="B72" s="339"/>
      <c r="C72" s="340"/>
      <c r="D72" s="340"/>
      <c r="E72" s="340"/>
      <c r="F72" s="340"/>
      <c r="G72" s="340"/>
      <c r="H72" s="150"/>
      <c r="I72" s="341">
        <v>602.20110000000102</v>
      </c>
      <c r="J72" s="342" t="s">
        <v>204</v>
      </c>
      <c r="K72" s="344"/>
      <c r="L72" s="474"/>
      <c r="M72" s="474"/>
      <c r="N72" s="567"/>
      <c r="O72" s="512"/>
      <c r="P72" s="512"/>
      <c r="Q72" s="474"/>
    </row>
    <row r="73" spans="1:20" ht="13.5" thickBot="1">
      <c r="A73" s="163"/>
      <c r="B73" s="345"/>
      <c r="C73" s="346"/>
      <c r="D73" s="346"/>
      <c r="E73" s="346"/>
      <c r="F73" s="346"/>
      <c r="G73" s="346"/>
      <c r="H73" s="164"/>
      <c r="I73" s="347">
        <v>602.20989999999995</v>
      </c>
      <c r="J73" s="348" t="s">
        <v>358</v>
      </c>
      <c r="K73" s="350"/>
      <c r="L73" s="475">
        <v>93600</v>
      </c>
      <c r="M73" s="475">
        <v>93600</v>
      </c>
      <c r="N73" s="567"/>
      <c r="O73" s="512"/>
      <c r="P73" s="512"/>
      <c r="Q73" s="475">
        <v>93600</v>
      </c>
    </row>
    <row r="74" spans="1:20" ht="13.5" thickBot="1">
      <c r="A74" s="163"/>
      <c r="B74" s="320"/>
      <c r="C74" s="321"/>
      <c r="D74" s="321"/>
      <c r="E74" s="321"/>
      <c r="F74" s="321"/>
      <c r="G74" s="321"/>
      <c r="H74" s="322"/>
      <c r="I74" s="323">
        <v>6023</v>
      </c>
      <c r="J74" s="324" t="s">
        <v>206</v>
      </c>
      <c r="K74" s="351">
        <f>SUM(K75+K76+K77+K78)</f>
        <v>0</v>
      </c>
      <c r="L74" s="476">
        <f>SUM(L75+L76+L77+L78)</f>
        <v>3071504</v>
      </c>
      <c r="M74" s="476">
        <f>SUM(M75:M78)</f>
        <v>3071504</v>
      </c>
      <c r="N74" s="476"/>
      <c r="O74" s="512"/>
      <c r="P74" s="512"/>
      <c r="Q74" s="476">
        <f>SUM(Q75+Q76+Q77+Q78)</f>
        <v>2472224</v>
      </c>
    </row>
    <row r="75" spans="1:20">
      <c r="A75" s="163"/>
      <c r="B75" s="352"/>
      <c r="C75" s="353"/>
      <c r="D75" s="353"/>
      <c r="E75" s="353"/>
      <c r="F75" s="353"/>
      <c r="G75" s="353"/>
      <c r="H75" s="354"/>
      <c r="I75" s="360">
        <v>602.30999999999995</v>
      </c>
      <c r="J75" s="361" t="s">
        <v>207</v>
      </c>
      <c r="K75" s="362"/>
      <c r="L75" s="477">
        <f>2038344+599280</f>
        <v>2637624</v>
      </c>
      <c r="M75" s="477">
        <f>2038344+599280</f>
        <v>2637624</v>
      </c>
      <c r="N75" s="724"/>
      <c r="O75" s="512"/>
      <c r="P75" s="512"/>
      <c r="Q75" s="477">
        <v>2038344</v>
      </c>
    </row>
    <row r="76" spans="1:20">
      <c r="A76" s="163"/>
      <c r="B76" s="339"/>
      <c r="C76" s="340"/>
      <c r="D76" s="340"/>
      <c r="E76" s="340"/>
      <c r="F76" s="340"/>
      <c r="G76" s="340"/>
      <c r="H76" s="150"/>
      <c r="I76" s="341">
        <v>602.32000000000005</v>
      </c>
      <c r="J76" s="342" t="s">
        <v>359</v>
      </c>
      <c r="K76" s="344"/>
      <c r="L76" s="474">
        <v>433880</v>
      </c>
      <c r="M76" s="474">
        <v>433880</v>
      </c>
      <c r="N76" s="567"/>
      <c r="O76" s="149"/>
      <c r="Q76" s="474">
        <v>433880</v>
      </c>
    </row>
    <row r="77" spans="1:20">
      <c r="A77" s="163"/>
      <c r="B77" s="339"/>
      <c r="C77" s="340"/>
      <c r="D77" s="340"/>
      <c r="E77" s="340"/>
      <c r="F77" s="340"/>
      <c r="G77" s="340"/>
      <c r="H77" s="150"/>
      <c r="I77" s="341">
        <v>602.33000000000004</v>
      </c>
      <c r="J77" s="342" t="s">
        <v>360</v>
      </c>
      <c r="K77" s="344"/>
      <c r="L77" s="474"/>
      <c r="M77" s="474"/>
      <c r="N77" s="567"/>
      <c r="O77" s="149"/>
      <c r="Q77" s="474"/>
    </row>
    <row r="78" spans="1:20" ht="13.5" thickBot="1">
      <c r="A78" s="163"/>
      <c r="B78" s="345"/>
      <c r="C78" s="346"/>
      <c r="D78" s="346"/>
      <c r="E78" s="346"/>
      <c r="F78" s="346"/>
      <c r="G78" s="346"/>
      <c r="H78" s="164"/>
      <c r="I78" s="347">
        <v>602.39</v>
      </c>
      <c r="J78" s="348" t="s">
        <v>361</v>
      </c>
      <c r="K78" s="350"/>
      <c r="L78" s="480"/>
      <c r="M78" s="480"/>
      <c r="N78" s="567"/>
      <c r="O78" s="149"/>
      <c r="Q78" s="480"/>
    </row>
    <row r="79" spans="1:20" ht="13.5" thickBot="1">
      <c r="A79" s="163"/>
      <c r="B79" s="320"/>
      <c r="C79" s="321"/>
      <c r="D79" s="321"/>
      <c r="E79" s="321"/>
      <c r="F79" s="321"/>
      <c r="G79" s="321"/>
      <c r="H79" s="322"/>
      <c r="I79" s="323">
        <v>602.4</v>
      </c>
      <c r="J79" s="324" t="s">
        <v>362</v>
      </c>
      <c r="K79" s="351">
        <f>SUM(K80+K81)</f>
        <v>0</v>
      </c>
      <c r="L79" s="476">
        <f>SUM(L80+L81)</f>
        <v>2626371</v>
      </c>
      <c r="M79" s="476">
        <f>SUM(M80:M81)</f>
        <v>2626371</v>
      </c>
      <c r="N79" s="476"/>
      <c r="O79" s="149">
        <v>52556</v>
      </c>
      <c r="Q79" s="476">
        <f>SUM(Q80+Q81)</f>
        <v>2446736</v>
      </c>
    </row>
    <row r="80" spans="1:20">
      <c r="A80" s="163"/>
      <c r="B80" s="352"/>
      <c r="C80" s="353"/>
      <c r="D80" s="353"/>
      <c r="E80" s="353"/>
      <c r="F80" s="353"/>
      <c r="G80" s="353"/>
      <c r="H80" s="354"/>
      <c r="I80" s="360">
        <v>602.4</v>
      </c>
      <c r="J80" s="361" t="s">
        <v>363</v>
      </c>
      <c r="K80" s="362"/>
      <c r="L80" s="712">
        <f>2394080+162815</f>
        <v>2556895</v>
      </c>
      <c r="M80" s="712">
        <f>2394080+162815</f>
        <v>2556895</v>
      </c>
      <c r="N80" s="573"/>
      <c r="O80" s="149">
        <v>16920</v>
      </c>
      <c r="Q80" s="712">
        <v>2394080</v>
      </c>
    </row>
    <row r="81" spans="1:17" ht="13.5" thickBot="1">
      <c r="A81" s="163"/>
      <c r="B81" s="345"/>
      <c r="C81" s="346"/>
      <c r="D81" s="346"/>
      <c r="E81" s="346"/>
      <c r="F81" s="346"/>
      <c r="G81" s="346"/>
      <c r="H81" s="164"/>
      <c r="I81" s="347">
        <v>602.41</v>
      </c>
      <c r="J81" s="348" t="s">
        <v>364</v>
      </c>
      <c r="K81" s="350"/>
      <c r="L81" s="746">
        <v>69476</v>
      </c>
      <c r="M81" s="746">
        <v>69476</v>
      </c>
      <c r="N81" s="763">
        <v>53</v>
      </c>
      <c r="O81" s="136">
        <f>SUM(O79:O80)</f>
        <v>69476</v>
      </c>
      <c r="P81" s="718">
        <v>53</v>
      </c>
      <c r="Q81" s="475">
        <v>52656</v>
      </c>
    </row>
    <row r="82" spans="1:17" ht="13.5" thickBot="1">
      <c r="A82" s="163"/>
      <c r="B82" s="320"/>
      <c r="C82" s="321"/>
      <c r="D82" s="321"/>
      <c r="E82" s="321"/>
      <c r="F82" s="321"/>
      <c r="G82" s="321"/>
      <c r="H82" s="322"/>
      <c r="I82" s="323">
        <v>602.5</v>
      </c>
      <c r="J82" s="324" t="s">
        <v>365</v>
      </c>
      <c r="K82" s="351">
        <f>SUM(K83+K84+K85+K86+K87+K88+K89+K90)</f>
        <v>0</v>
      </c>
      <c r="L82" s="472">
        <f>SUM(L83+L84+L85+L86+L87+L88+L89+L90)</f>
        <v>673116</v>
      </c>
      <c r="M82" s="472">
        <f>SUM(M83:M90)</f>
        <v>673116</v>
      </c>
      <c r="N82" s="472"/>
      <c r="O82" s="149"/>
      <c r="Q82" s="472">
        <f>SUM(Q83+Q84+Q85+Q86+Q87+Q88+Q89+Q90)</f>
        <v>673116</v>
      </c>
    </row>
    <row r="83" spans="1:17">
      <c r="A83" s="163"/>
      <c r="B83" s="352"/>
      <c r="C83" s="353"/>
      <c r="D83" s="353"/>
      <c r="E83" s="353"/>
      <c r="F83" s="353"/>
      <c r="G83" s="353"/>
      <c r="H83" s="354"/>
      <c r="I83" s="360">
        <v>602.5</v>
      </c>
      <c r="J83" s="361" t="s">
        <v>366</v>
      </c>
      <c r="K83" s="364"/>
      <c r="L83" s="481"/>
      <c r="M83" s="481"/>
      <c r="N83" s="566"/>
      <c r="O83" s="149"/>
      <c r="Q83" s="481"/>
    </row>
    <row r="84" spans="1:17">
      <c r="A84" s="163"/>
      <c r="B84" s="339"/>
      <c r="C84" s="340"/>
      <c r="D84" s="340"/>
      <c r="E84" s="340"/>
      <c r="F84" s="340"/>
      <c r="G84" s="340"/>
      <c r="H84" s="150"/>
      <c r="I84" s="341">
        <v>602.51</v>
      </c>
      <c r="J84" s="342" t="s">
        <v>367</v>
      </c>
      <c r="K84" s="365"/>
      <c r="L84" s="482"/>
      <c r="M84" s="482"/>
      <c r="N84" s="566"/>
      <c r="O84" s="149"/>
      <c r="Q84" s="482"/>
    </row>
    <row r="85" spans="1:17">
      <c r="A85" s="163"/>
      <c r="B85" s="339"/>
      <c r="C85" s="340"/>
      <c r="D85" s="340"/>
      <c r="E85" s="340"/>
      <c r="F85" s="340"/>
      <c r="G85" s="340"/>
      <c r="H85" s="150"/>
      <c r="I85" s="341">
        <v>602.52</v>
      </c>
      <c r="J85" s="342" t="s">
        <v>368</v>
      </c>
      <c r="K85" s="365"/>
      <c r="L85" s="482"/>
      <c r="M85" s="482"/>
      <c r="N85" s="566"/>
      <c r="O85" s="149"/>
      <c r="Q85" s="482"/>
    </row>
    <row r="86" spans="1:17" ht="13.5" thickBot="1">
      <c r="A86" s="163"/>
      <c r="B86" s="367"/>
      <c r="C86" s="368"/>
      <c r="D86" s="368"/>
      <c r="E86" s="368"/>
      <c r="F86" s="368"/>
      <c r="G86" s="368"/>
      <c r="H86" s="369"/>
      <c r="I86" s="370">
        <v>602.53</v>
      </c>
      <c r="J86" s="371" t="s">
        <v>369</v>
      </c>
      <c r="K86" s="372"/>
      <c r="L86" s="483"/>
      <c r="M86" s="483"/>
      <c r="N86" s="566"/>
      <c r="O86" s="149"/>
      <c r="Q86" s="483"/>
    </row>
    <row r="87" spans="1:17">
      <c r="A87" s="163"/>
      <c r="B87" s="332"/>
      <c r="C87" s="333"/>
      <c r="D87" s="333"/>
      <c r="E87" s="333"/>
      <c r="F87" s="333"/>
      <c r="G87" s="333"/>
      <c r="H87" s="334"/>
      <c r="I87" s="335">
        <v>602.54</v>
      </c>
      <c r="J87" s="336" t="s">
        <v>405</v>
      </c>
      <c r="K87" s="373"/>
      <c r="L87" s="469">
        <v>257212</v>
      </c>
      <c r="M87" s="469">
        <v>257212</v>
      </c>
      <c r="N87" s="566"/>
      <c r="O87" s="149"/>
      <c r="Q87" s="469">
        <v>257212</v>
      </c>
    </row>
    <row r="88" spans="1:17">
      <c r="A88" s="163"/>
      <c r="B88" s="339"/>
      <c r="C88" s="340"/>
      <c r="D88" s="340"/>
      <c r="E88" s="340"/>
      <c r="F88" s="340"/>
      <c r="G88" s="340"/>
      <c r="H88" s="150"/>
      <c r="I88" s="341">
        <v>602.54999999999995</v>
      </c>
      <c r="J88" s="342" t="s">
        <v>370</v>
      </c>
      <c r="K88" s="365"/>
      <c r="L88" s="710">
        <v>180000</v>
      </c>
      <c r="M88" s="710">
        <v>180000</v>
      </c>
      <c r="N88" s="573"/>
      <c r="O88" s="149"/>
      <c r="Q88" s="710">
        <v>180000</v>
      </c>
    </row>
    <row r="89" spans="1:17">
      <c r="A89" s="163"/>
      <c r="B89" s="339"/>
      <c r="C89" s="340"/>
      <c r="D89" s="340"/>
      <c r="E89" s="340"/>
      <c r="F89" s="340"/>
      <c r="G89" s="340"/>
      <c r="H89" s="150"/>
      <c r="I89" s="341">
        <v>602.55999999999995</v>
      </c>
      <c r="J89" s="342" t="s">
        <v>371</v>
      </c>
      <c r="K89" s="365"/>
      <c r="L89" s="482"/>
      <c r="M89" s="482"/>
      <c r="N89" s="566"/>
      <c r="O89" s="149"/>
      <c r="Q89" s="482"/>
    </row>
    <row r="90" spans="1:17" ht="13.5" thickBot="1">
      <c r="A90" s="163"/>
      <c r="B90" s="345"/>
      <c r="C90" s="346"/>
      <c r="D90" s="346"/>
      <c r="E90" s="346"/>
      <c r="F90" s="346"/>
      <c r="G90" s="346"/>
      <c r="H90" s="164"/>
      <c r="I90" s="347">
        <v>602.58000000000004</v>
      </c>
      <c r="J90" s="348" t="s">
        <v>372</v>
      </c>
      <c r="K90" s="374"/>
      <c r="L90" s="711">
        <v>235904</v>
      </c>
      <c r="M90" s="711">
        <v>235904</v>
      </c>
      <c r="N90" s="573"/>
      <c r="O90" s="149"/>
      <c r="Q90" s="711">
        <v>235904</v>
      </c>
    </row>
    <row r="91" spans="1:17" ht="13.5" thickBot="1">
      <c r="A91" s="163"/>
      <c r="B91" s="320"/>
      <c r="C91" s="321"/>
      <c r="D91" s="321"/>
      <c r="E91" s="321"/>
      <c r="F91" s="321"/>
      <c r="G91" s="321"/>
      <c r="H91" s="322"/>
      <c r="I91" s="323">
        <v>602.6</v>
      </c>
      <c r="J91" s="324" t="s">
        <v>373</v>
      </c>
      <c r="K91" s="376">
        <f>SUM(K92+K93+K94+K95+K96)</f>
        <v>0</v>
      </c>
      <c r="L91" s="485">
        <f>SUM(L92+L93+L94+L95+L96)</f>
        <v>0</v>
      </c>
      <c r="M91" s="485"/>
      <c r="N91" s="569"/>
      <c r="O91" s="149"/>
      <c r="Q91" s="485">
        <f>SUM(Q92+Q93+Q94+Q95+Q96)</f>
        <v>0</v>
      </c>
    </row>
    <row r="92" spans="1:17">
      <c r="A92" s="163"/>
      <c r="B92" s="352"/>
      <c r="C92" s="353"/>
      <c r="D92" s="353"/>
      <c r="E92" s="353"/>
      <c r="F92" s="353"/>
      <c r="G92" s="353"/>
      <c r="H92" s="354"/>
      <c r="I92" s="360">
        <v>602.61</v>
      </c>
      <c r="J92" s="361" t="s">
        <v>374</v>
      </c>
      <c r="K92" s="364"/>
      <c r="L92" s="481"/>
      <c r="M92" s="481"/>
      <c r="N92" s="566"/>
      <c r="O92" s="149"/>
      <c r="Q92" s="481"/>
    </row>
    <row r="93" spans="1:17">
      <c r="A93" s="163"/>
      <c r="B93" s="339"/>
      <c r="C93" s="340"/>
      <c r="D93" s="340"/>
      <c r="E93" s="340"/>
      <c r="F93" s="340"/>
      <c r="G93" s="340"/>
      <c r="H93" s="150"/>
      <c r="I93" s="341">
        <v>602.62</v>
      </c>
      <c r="J93" s="342" t="s">
        <v>375</v>
      </c>
      <c r="K93" s="365"/>
      <c r="L93" s="482"/>
      <c r="M93" s="482"/>
      <c r="N93" s="566"/>
      <c r="O93" s="149"/>
      <c r="Q93" s="482"/>
    </row>
    <row r="94" spans="1:17">
      <c r="A94" s="163"/>
      <c r="B94" s="339"/>
      <c r="C94" s="340"/>
      <c r="D94" s="340"/>
      <c r="E94" s="340"/>
      <c r="F94" s="340"/>
      <c r="G94" s="340"/>
      <c r="H94" s="150"/>
      <c r="I94" s="341">
        <v>602.63</v>
      </c>
      <c r="J94" s="342" t="s">
        <v>376</v>
      </c>
      <c r="K94" s="365"/>
      <c r="L94" s="482"/>
      <c r="M94" s="482"/>
      <c r="N94" s="566"/>
      <c r="O94" s="149"/>
      <c r="Q94" s="482"/>
    </row>
    <row r="95" spans="1:17">
      <c r="A95" s="163"/>
      <c r="B95" s="339"/>
      <c r="C95" s="340"/>
      <c r="D95" s="340"/>
      <c r="E95" s="340"/>
      <c r="F95" s="340"/>
      <c r="G95" s="340"/>
      <c r="H95" s="150"/>
      <c r="I95" s="341">
        <v>602.64</v>
      </c>
      <c r="J95" s="342" t="s">
        <v>377</v>
      </c>
      <c r="K95" s="365"/>
      <c r="L95" s="482"/>
      <c r="M95" s="482"/>
      <c r="N95" s="566"/>
      <c r="O95" s="149"/>
      <c r="Q95" s="482"/>
    </row>
    <row r="96" spans="1:17" ht="13.5" thickBot="1">
      <c r="A96" s="163"/>
      <c r="B96" s="345"/>
      <c r="C96" s="346"/>
      <c r="D96" s="346"/>
      <c r="E96" s="346"/>
      <c r="F96" s="346"/>
      <c r="G96" s="346"/>
      <c r="H96" s="164"/>
      <c r="I96" s="347">
        <v>602.69000000000005</v>
      </c>
      <c r="J96" s="348" t="s">
        <v>378</v>
      </c>
      <c r="K96" s="374"/>
      <c r="L96" s="486"/>
      <c r="M96" s="486"/>
      <c r="N96" s="566"/>
      <c r="O96" s="149"/>
      <c r="Q96" s="486"/>
    </row>
    <row r="97" spans="1:17" ht="13.5" thickBot="1">
      <c r="A97" s="163"/>
      <c r="B97" s="320"/>
      <c r="C97" s="321"/>
      <c r="D97" s="321"/>
      <c r="E97" s="321"/>
      <c r="F97" s="321"/>
      <c r="G97" s="321"/>
      <c r="H97" s="322"/>
      <c r="I97" s="377">
        <v>602.70000000000005</v>
      </c>
      <c r="J97" s="324" t="s">
        <v>379</v>
      </c>
      <c r="K97" s="376">
        <f>SUM(K98+K99+K100+K101+K102+K103)</f>
        <v>0</v>
      </c>
      <c r="L97" s="485">
        <f>SUM(L98+L99+L100+L101+L102+L103)</f>
        <v>409500</v>
      </c>
      <c r="M97" s="485">
        <f>SUM(M98:M103)</f>
        <v>409500</v>
      </c>
      <c r="N97" s="485"/>
      <c r="O97" s="149"/>
      <c r="Q97" s="485">
        <f>SUM(Q98+Q99+Q100+Q101+Q102+Q103)</f>
        <v>290000</v>
      </c>
    </row>
    <row r="98" spans="1:17">
      <c r="A98" s="163"/>
      <c r="B98" s="352"/>
      <c r="C98" s="353"/>
      <c r="D98" s="353"/>
      <c r="E98" s="353"/>
      <c r="F98" s="353"/>
      <c r="G98" s="353"/>
      <c r="H98" s="354"/>
      <c r="I98" s="360">
        <v>602.71</v>
      </c>
      <c r="J98" s="361" t="s">
        <v>380</v>
      </c>
      <c r="K98" s="364"/>
      <c r="L98" s="481"/>
      <c r="M98" s="481"/>
      <c r="N98" s="566"/>
      <c r="O98" s="149"/>
      <c r="Q98" s="481"/>
    </row>
    <row r="99" spans="1:17">
      <c r="A99" s="163"/>
      <c r="B99" s="339"/>
      <c r="C99" s="340"/>
      <c r="D99" s="340"/>
      <c r="E99" s="340"/>
      <c r="F99" s="340"/>
      <c r="G99" s="340"/>
      <c r="H99" s="150"/>
      <c r="I99" s="341">
        <v>602.72</v>
      </c>
      <c r="J99" s="342" t="s">
        <v>381</v>
      </c>
      <c r="K99" s="365"/>
      <c r="L99" s="482"/>
      <c r="M99" s="482"/>
      <c r="N99" s="566"/>
      <c r="O99" s="149"/>
      <c r="Q99" s="482"/>
    </row>
    <row r="100" spans="1:17">
      <c r="A100" s="163"/>
      <c r="B100" s="339"/>
      <c r="C100" s="340"/>
      <c r="D100" s="340"/>
      <c r="E100" s="340"/>
      <c r="F100" s="340"/>
      <c r="G100" s="340"/>
      <c r="H100" s="150"/>
      <c r="I100" s="341">
        <v>602.73</v>
      </c>
      <c r="J100" s="342" t="s">
        <v>382</v>
      </c>
      <c r="K100" s="365"/>
      <c r="L100" s="482"/>
      <c r="M100" s="482"/>
      <c r="N100" s="566"/>
      <c r="O100" s="149"/>
      <c r="Q100" s="482"/>
    </row>
    <row r="101" spans="1:17">
      <c r="A101" s="163"/>
      <c r="B101" s="339"/>
      <c r="C101" s="340"/>
      <c r="D101" s="340"/>
      <c r="E101" s="340"/>
      <c r="F101" s="340"/>
      <c r="G101" s="340"/>
      <c r="H101" s="150"/>
      <c r="I101" s="341">
        <v>602.74</v>
      </c>
      <c r="J101" s="342" t="s">
        <v>383</v>
      </c>
      <c r="K101" s="365"/>
      <c r="L101" s="781">
        <f>290000+119500</f>
        <v>409500</v>
      </c>
      <c r="M101" s="781">
        <f>290000+119500</f>
        <v>409500</v>
      </c>
      <c r="N101" s="566"/>
      <c r="O101" s="149"/>
      <c r="Q101" s="482">
        <v>290000</v>
      </c>
    </row>
    <row r="102" spans="1:17">
      <c r="A102" s="163"/>
      <c r="B102" s="339"/>
      <c r="C102" s="340"/>
      <c r="D102" s="340"/>
      <c r="E102" s="340"/>
      <c r="F102" s="340"/>
      <c r="G102" s="340"/>
      <c r="H102" s="150"/>
      <c r="I102" s="341">
        <v>602.75</v>
      </c>
      <c r="J102" s="342" t="s">
        <v>384</v>
      </c>
      <c r="K102" s="365"/>
      <c r="L102" s="482"/>
      <c r="M102" s="482"/>
      <c r="N102" s="566"/>
      <c r="O102" s="149"/>
      <c r="Q102" s="482"/>
    </row>
    <row r="103" spans="1:17" ht="13.5" thickBot="1">
      <c r="A103" s="163"/>
      <c r="B103" s="345"/>
      <c r="C103" s="346"/>
      <c r="D103" s="346"/>
      <c r="E103" s="346"/>
      <c r="F103" s="346"/>
      <c r="G103" s="346"/>
      <c r="H103" s="164"/>
      <c r="I103" s="347">
        <v>602.79</v>
      </c>
      <c r="J103" s="348" t="s">
        <v>385</v>
      </c>
      <c r="K103" s="374"/>
      <c r="L103" s="486"/>
      <c r="M103" s="486"/>
      <c r="N103" s="566"/>
      <c r="O103" s="149"/>
      <c r="Q103" s="486"/>
    </row>
    <row r="104" spans="1:17" ht="13.5" thickBot="1">
      <c r="A104" s="163"/>
      <c r="B104" s="320"/>
      <c r="C104" s="321"/>
      <c r="D104" s="321"/>
      <c r="E104" s="321"/>
      <c r="F104" s="321"/>
      <c r="G104" s="321"/>
      <c r="H104" s="322"/>
      <c r="I104" s="377">
        <v>602.79999999999995</v>
      </c>
      <c r="J104" s="324" t="s">
        <v>386</v>
      </c>
      <c r="K104" s="376">
        <f>SUM(K105+K106)</f>
        <v>0</v>
      </c>
      <c r="L104" s="485">
        <f>SUM(L105+L106)</f>
        <v>0</v>
      </c>
      <c r="M104" s="485"/>
      <c r="N104" s="485"/>
      <c r="O104" s="149"/>
      <c r="Q104" s="485">
        <f>SUM(Q105+Q106)</f>
        <v>0</v>
      </c>
    </row>
    <row r="105" spans="1:17">
      <c r="A105" s="163"/>
      <c r="B105" s="352"/>
      <c r="C105" s="353"/>
      <c r="D105" s="353"/>
      <c r="E105" s="353"/>
      <c r="F105" s="353"/>
      <c r="G105" s="353"/>
      <c r="H105" s="354"/>
      <c r="I105" s="360">
        <v>602.80999999999995</v>
      </c>
      <c r="J105" s="361" t="s">
        <v>387</v>
      </c>
      <c r="K105" s="357"/>
      <c r="L105" s="473"/>
      <c r="M105" s="473"/>
      <c r="N105" s="565"/>
      <c r="O105" s="149"/>
      <c r="Q105" s="473"/>
    </row>
    <row r="106" spans="1:17" ht="13.5" thickBot="1">
      <c r="A106" s="163"/>
      <c r="B106" s="345"/>
      <c r="C106" s="346"/>
      <c r="D106" s="346"/>
      <c r="E106" s="346"/>
      <c r="F106" s="346"/>
      <c r="G106" s="346"/>
      <c r="H106" s="164"/>
      <c r="I106" s="347">
        <v>602.82000000000005</v>
      </c>
      <c r="J106" s="348" t="s">
        <v>388</v>
      </c>
      <c r="K106" s="349"/>
      <c r="L106" s="471"/>
      <c r="M106" s="471"/>
      <c r="N106" s="565"/>
      <c r="O106" s="149"/>
      <c r="Q106" s="471"/>
    </row>
    <row r="107" spans="1:17" ht="12" customHeight="1" thickBot="1">
      <c r="A107" s="163"/>
      <c r="B107" s="320"/>
      <c r="C107" s="321"/>
      <c r="D107" s="321"/>
      <c r="E107" s="321"/>
      <c r="F107" s="321"/>
      <c r="G107" s="321"/>
      <c r="H107" s="322"/>
      <c r="I107" s="323">
        <v>602.9</v>
      </c>
      <c r="J107" s="324" t="s">
        <v>389</v>
      </c>
      <c r="K107" s="376">
        <f>SUM(K108+K109+K110+K111+K112+K113+K114+K115+K116)</f>
        <v>0</v>
      </c>
      <c r="L107" s="485">
        <f>SUM(L108+L109+L110+L111+L112+L113+L114+L115+L116)</f>
        <v>1638686</v>
      </c>
      <c r="M107" s="485">
        <f>SUM(M108:M116)</f>
        <v>1638686</v>
      </c>
      <c r="N107" s="485"/>
      <c r="O107" s="149"/>
      <c r="Q107" s="485">
        <f>SUM(Q108+Q109+Q110+Q111+Q112+Q113+Q114+Q115+Q116)</f>
        <v>1131714</v>
      </c>
    </row>
    <row r="108" spans="1:17" ht="12" customHeight="1">
      <c r="A108" s="163"/>
      <c r="B108" s="332"/>
      <c r="C108" s="333"/>
      <c r="D108" s="333"/>
      <c r="E108" s="333"/>
      <c r="F108" s="333"/>
      <c r="G108" s="333"/>
      <c r="H108" s="334"/>
      <c r="I108" s="335">
        <v>602.90009999999995</v>
      </c>
      <c r="J108" s="336" t="s">
        <v>390</v>
      </c>
      <c r="K108" s="338"/>
      <c r="L108" s="487"/>
      <c r="M108" s="487"/>
      <c r="N108" s="567"/>
      <c r="O108" s="149"/>
      <c r="Q108" s="487"/>
    </row>
    <row r="109" spans="1:17" ht="12" customHeight="1">
      <c r="A109" s="163"/>
      <c r="B109" s="339"/>
      <c r="C109" s="340"/>
      <c r="D109" s="340"/>
      <c r="E109" s="340"/>
      <c r="F109" s="340"/>
      <c r="G109" s="340"/>
      <c r="H109" s="150"/>
      <c r="I109" s="341">
        <v>602.90020000000004</v>
      </c>
      <c r="J109" s="342" t="s">
        <v>392</v>
      </c>
      <c r="K109" s="344"/>
      <c r="L109" s="474"/>
      <c r="M109" s="474"/>
      <c r="N109" s="567"/>
      <c r="O109" s="149"/>
      <c r="Q109" s="474"/>
    </row>
    <row r="110" spans="1:17" ht="12" customHeight="1">
      <c r="A110" s="163"/>
      <c r="B110" s="339"/>
      <c r="C110" s="340"/>
      <c r="D110" s="340"/>
      <c r="E110" s="340"/>
      <c r="F110" s="340"/>
      <c r="G110" s="340"/>
      <c r="H110" s="150"/>
      <c r="I110" s="341">
        <v>602.90030000000002</v>
      </c>
      <c r="J110" s="342" t="s">
        <v>391</v>
      </c>
      <c r="K110" s="344"/>
      <c r="L110" s="474"/>
      <c r="M110" s="474"/>
      <c r="N110" s="567"/>
      <c r="O110" s="149"/>
      <c r="Q110" s="474"/>
    </row>
    <row r="111" spans="1:17" ht="12" customHeight="1">
      <c r="A111" s="163"/>
      <c r="B111" s="339"/>
      <c r="C111" s="340"/>
      <c r="D111" s="340"/>
      <c r="E111" s="340"/>
      <c r="F111" s="340"/>
      <c r="G111" s="340"/>
      <c r="H111" s="150"/>
      <c r="I111" s="341">
        <v>602.90039999999999</v>
      </c>
      <c r="J111" s="342" t="s">
        <v>393</v>
      </c>
      <c r="K111" s="344"/>
      <c r="L111" s="474"/>
      <c r="M111" s="474"/>
      <c r="N111" s="567"/>
      <c r="O111" s="149"/>
      <c r="Q111" s="474"/>
    </row>
    <row r="112" spans="1:17" ht="12" customHeight="1">
      <c r="A112" s="163"/>
      <c r="B112" s="339"/>
      <c r="C112" s="340"/>
      <c r="D112" s="340"/>
      <c r="E112" s="340"/>
      <c r="F112" s="340"/>
      <c r="G112" s="340"/>
      <c r="H112" s="150"/>
      <c r="I112" s="341">
        <v>602.90049999999997</v>
      </c>
      <c r="J112" s="342" t="s">
        <v>394</v>
      </c>
      <c r="K112" s="344"/>
      <c r="L112" s="474">
        <f>1114694+42120+481872</f>
        <v>1638686</v>
      </c>
      <c r="M112" s="474">
        <f>1114694+42120+481872</f>
        <v>1638686</v>
      </c>
      <c r="N112" s="567"/>
      <c r="O112" s="149"/>
      <c r="Q112" s="474">
        <v>1114694</v>
      </c>
    </row>
    <row r="113" spans="1:22" ht="12" customHeight="1">
      <c r="A113" s="163"/>
      <c r="B113" s="339"/>
      <c r="C113" s="340"/>
      <c r="D113" s="340"/>
      <c r="E113" s="340"/>
      <c r="F113" s="340"/>
      <c r="G113" s="340"/>
      <c r="H113" s="150"/>
      <c r="I113" s="341">
        <v>602.90060000000005</v>
      </c>
      <c r="J113" s="342" t="s">
        <v>395</v>
      </c>
      <c r="K113" s="344"/>
      <c r="L113" s="474"/>
      <c r="M113" s="474"/>
      <c r="N113" s="567"/>
      <c r="O113" s="149"/>
      <c r="Q113" s="474"/>
    </row>
    <row r="114" spans="1:22" ht="12" customHeight="1">
      <c r="A114" s="163"/>
      <c r="B114" s="339"/>
      <c r="C114" s="340"/>
      <c r="D114" s="340"/>
      <c r="E114" s="340"/>
      <c r="F114" s="340"/>
      <c r="G114" s="340"/>
      <c r="H114" s="150"/>
      <c r="I114" s="341">
        <v>602.90070000000003</v>
      </c>
      <c r="J114" s="342" t="s">
        <v>396</v>
      </c>
      <c r="K114" s="343"/>
      <c r="L114" s="470"/>
      <c r="M114" s="470"/>
      <c r="N114" s="565"/>
      <c r="O114" s="149"/>
      <c r="Q114" s="470"/>
    </row>
    <row r="115" spans="1:22" ht="12" customHeight="1">
      <c r="A115" s="163"/>
      <c r="B115" s="339"/>
      <c r="C115" s="340"/>
      <c r="D115" s="340"/>
      <c r="E115" s="340"/>
      <c r="F115" s="340"/>
      <c r="G115" s="340"/>
      <c r="H115" s="150"/>
      <c r="I115" s="341">
        <v>602.90080000000103</v>
      </c>
      <c r="J115" s="342" t="s">
        <v>397</v>
      </c>
      <c r="K115" s="344"/>
      <c r="L115" s="474"/>
      <c r="M115" s="474"/>
      <c r="N115" s="567"/>
      <c r="O115" s="149"/>
      <c r="Q115" s="474"/>
    </row>
    <row r="116" spans="1:22" ht="12" customHeight="1" thickBot="1">
      <c r="A116" s="163"/>
      <c r="B116" s="345"/>
      <c r="C116" s="346"/>
      <c r="D116" s="346"/>
      <c r="E116" s="346"/>
      <c r="F116" s="346"/>
      <c r="G116" s="346"/>
      <c r="H116" s="164"/>
      <c r="I116" s="347">
        <v>602.900900000001</v>
      </c>
      <c r="J116" s="348" t="s">
        <v>398</v>
      </c>
      <c r="K116" s="350"/>
      <c r="L116" s="480"/>
      <c r="M116" s="480"/>
      <c r="N116" s="763">
        <v>17</v>
      </c>
      <c r="O116" s="149"/>
      <c r="P116" s="718">
        <v>17</v>
      </c>
      <c r="Q116" s="480">
        <v>17020</v>
      </c>
    </row>
    <row r="117" spans="1:22" ht="13.5" thickBot="1">
      <c r="A117" s="163"/>
      <c r="B117" s="732"/>
      <c r="C117" s="733"/>
      <c r="D117" s="733"/>
      <c r="E117" s="733"/>
      <c r="F117" s="733"/>
      <c r="G117" s="776"/>
      <c r="H117" s="777">
        <v>606</v>
      </c>
      <c r="I117" s="735">
        <v>606.91</v>
      </c>
      <c r="J117" s="736" t="s">
        <v>406</v>
      </c>
      <c r="K117" s="737">
        <v>30000</v>
      </c>
      <c r="L117" s="725">
        <v>30000</v>
      </c>
      <c r="M117" s="725">
        <v>30000</v>
      </c>
      <c r="N117" s="725"/>
      <c r="O117" s="149"/>
      <c r="Q117" s="725">
        <v>30000</v>
      </c>
    </row>
    <row r="118" spans="1:22" ht="14.25" customHeight="1" thickBot="1">
      <c r="A118" s="163"/>
      <c r="B118" s="385"/>
      <c r="C118" s="386"/>
      <c r="D118" s="386"/>
      <c r="E118" s="692">
        <v>6</v>
      </c>
      <c r="F118" s="386"/>
      <c r="G118" s="778">
        <v>10430</v>
      </c>
      <c r="H118" s="779">
        <v>230</v>
      </c>
      <c r="I118" s="390"/>
      <c r="J118" s="391" t="s">
        <v>399</v>
      </c>
      <c r="K118" s="388"/>
      <c r="L118" s="388"/>
      <c r="M118" s="388"/>
      <c r="N118" s="388"/>
      <c r="O118" s="149"/>
      <c r="Q118" s="388"/>
    </row>
    <row r="119" spans="1:22" ht="12.75" customHeight="1">
      <c r="A119" s="163"/>
      <c r="B119" s="5"/>
      <c r="C119" s="163"/>
      <c r="D119" s="163"/>
      <c r="E119" s="741"/>
      <c r="F119" s="163"/>
      <c r="G119" s="742"/>
      <c r="H119" s="743"/>
      <c r="I119" s="163"/>
      <c r="J119" s="744"/>
      <c r="K119" s="380"/>
      <c r="L119" s="380"/>
      <c r="M119" s="380"/>
      <c r="N119" s="380"/>
      <c r="O119" s="149"/>
      <c r="R119" s="380"/>
    </row>
    <row r="120" spans="1:22" ht="13.5" customHeight="1">
      <c r="A120" s="163"/>
      <c r="B120" s="224"/>
      <c r="C120" s="703" t="s">
        <v>401</v>
      </c>
      <c r="D120" s="163"/>
      <c r="E120" s="163"/>
      <c r="F120" s="163"/>
      <c r="G120" s="163"/>
      <c r="H120" s="163"/>
      <c r="I120" s="163"/>
      <c r="J120" s="379"/>
      <c r="K120" s="380"/>
      <c r="L120" s="488"/>
      <c r="M120" s="488"/>
      <c r="N120" s="488"/>
      <c r="O120" s="149"/>
    </row>
    <row r="121" spans="1:22" ht="15">
      <c r="A121" s="163"/>
      <c r="B121" s="224"/>
      <c r="C121" s="703" t="s">
        <v>422</v>
      </c>
      <c r="D121" s="163"/>
      <c r="E121" s="163"/>
      <c r="F121" s="163"/>
      <c r="G121" s="163"/>
      <c r="H121" s="163"/>
      <c r="I121" s="163"/>
      <c r="J121" s="379"/>
      <c r="K121" s="382"/>
      <c r="L121" s="490"/>
      <c r="M121" s="490"/>
      <c r="N121" s="490"/>
      <c r="O121" s="149"/>
    </row>
    <row r="122" spans="1:22" ht="15">
      <c r="A122" s="163"/>
      <c r="B122" s="224"/>
      <c r="C122" s="163"/>
      <c r="D122" s="383" t="s">
        <v>402</v>
      </c>
      <c r="E122" s="383"/>
      <c r="F122" s="383"/>
      <c r="G122" s="383"/>
      <c r="H122" s="163"/>
      <c r="J122" s="384" t="s">
        <v>411</v>
      </c>
      <c r="K122" s="488"/>
      <c r="L122" s="488"/>
      <c r="M122" s="488"/>
      <c r="N122" s="149"/>
      <c r="O122" s="149"/>
    </row>
    <row r="123" spans="1:22">
      <c r="A123" s="163"/>
      <c r="B123" s="224"/>
      <c r="C123" s="163"/>
      <c r="D123" s="704" t="s">
        <v>403</v>
      </c>
      <c r="E123" s="383"/>
      <c r="F123" s="383"/>
      <c r="G123" s="383"/>
      <c r="H123" s="383"/>
      <c r="I123" s="383"/>
      <c r="J123" s="702" t="s">
        <v>412</v>
      </c>
      <c r="K123" s="489"/>
      <c r="L123" s="489"/>
      <c r="M123" s="489"/>
      <c r="N123" s="149"/>
      <c r="O123" s="220"/>
      <c r="P123" s="220"/>
      <c r="Q123" s="220"/>
      <c r="R123" s="220"/>
      <c r="S123" s="220"/>
      <c r="T123" s="220"/>
      <c r="U123" s="220"/>
    </row>
    <row r="124" spans="1:22">
      <c r="B124" s="707" t="s">
        <v>404</v>
      </c>
      <c r="C124" s="1"/>
      <c r="D124" s="127"/>
      <c r="E124" s="127"/>
      <c r="F124" s="127"/>
      <c r="G124" s="127"/>
      <c r="H124" s="127"/>
      <c r="I124" s="127"/>
      <c r="J124" s="127"/>
      <c r="K124" s="705"/>
      <c r="L124" s="706"/>
      <c r="M124" s="674"/>
      <c r="N124" s="674"/>
      <c r="O124" s="675"/>
      <c r="P124" s="223"/>
      <c r="Q124" s="223"/>
      <c r="R124" s="223"/>
      <c r="S124" s="223"/>
      <c r="T124" s="223"/>
      <c r="U124" s="223"/>
      <c r="V124" s="223"/>
    </row>
    <row r="129" spans="1:22">
      <c r="A129" s="163"/>
      <c r="B129" s="163"/>
      <c r="C129" s="210"/>
      <c r="D129" s="210"/>
      <c r="E129" s="210"/>
      <c r="F129" s="210"/>
      <c r="G129" s="210"/>
      <c r="H129" s="211"/>
      <c r="I129" s="211"/>
      <c r="J129" s="211"/>
      <c r="K129" s="211"/>
      <c r="L129" s="211"/>
      <c r="M129" s="212"/>
      <c r="N129" s="212"/>
      <c r="O129" s="212"/>
    </row>
    <row r="130" spans="1:22" ht="15.75" customHeight="1">
      <c r="A130" s="163"/>
      <c r="B130" s="163"/>
      <c r="C130" s="210"/>
      <c r="D130" s="210"/>
      <c r="E130" s="210"/>
      <c r="F130" s="210"/>
      <c r="G130" s="210"/>
      <c r="H130" s="210"/>
      <c r="I130" s="213"/>
      <c r="J130" s="214"/>
      <c r="K130" s="215"/>
      <c r="L130" s="163"/>
      <c r="M130" s="210"/>
      <c r="N130" s="210"/>
      <c r="O130" s="210"/>
    </row>
    <row r="131" spans="1:22" s="220" customFormat="1" ht="13.5" customHeight="1">
      <c r="A131" s="394"/>
      <c r="B131" s="216"/>
      <c r="C131" s="217"/>
      <c r="D131" s="217"/>
      <c r="E131" s="218"/>
      <c r="F131" s="218"/>
      <c r="G131" s="218"/>
      <c r="H131" s="218"/>
      <c r="I131" s="218"/>
      <c r="J131" s="218"/>
      <c r="K131" s="217"/>
      <c r="L131" s="219"/>
      <c r="M131" s="452"/>
      <c r="N131" s="452"/>
      <c r="O131" s="452"/>
      <c r="P131" s="149"/>
      <c r="Q131" s="149"/>
      <c r="R131" s="149"/>
      <c r="S131" s="149"/>
      <c r="T131" s="149"/>
      <c r="U131" s="149"/>
      <c r="V131" s="149"/>
    </row>
    <row r="132" spans="1:22" s="223" customFormat="1" ht="15">
      <c r="A132" s="395"/>
      <c r="B132" s="221"/>
      <c r="C132" s="218" t="s">
        <v>133</v>
      </c>
      <c r="D132" s="218"/>
      <c r="E132" s="218"/>
      <c r="F132" s="218"/>
      <c r="G132" s="218"/>
      <c r="H132" s="218"/>
      <c r="I132" s="218"/>
      <c r="J132" s="218"/>
      <c r="K132" s="218"/>
      <c r="L132" s="222"/>
      <c r="M132" s="453"/>
      <c r="N132" s="453"/>
      <c r="O132" s="453"/>
      <c r="P132" s="149"/>
      <c r="Q132" s="149"/>
      <c r="R132" s="149"/>
      <c r="S132" s="149"/>
      <c r="T132" s="149"/>
      <c r="U132" s="149"/>
      <c r="V132" s="149"/>
    </row>
    <row r="133" spans="1:22" s="223" customFormat="1" ht="15">
      <c r="A133" s="395"/>
      <c r="B133" s="221"/>
      <c r="C133" s="218" t="s">
        <v>134</v>
      </c>
      <c r="D133" s="218"/>
      <c r="E133" s="218"/>
      <c r="F133" s="218"/>
      <c r="G133" s="218"/>
      <c r="H133" s="218"/>
      <c r="I133" s="218"/>
      <c r="J133" s="218"/>
      <c r="K133" s="218"/>
      <c r="L133" s="222"/>
      <c r="M133" s="453"/>
      <c r="N133" s="453"/>
      <c r="O133" s="453"/>
      <c r="P133" s="247"/>
      <c r="Q133" s="247"/>
      <c r="R133" s="247"/>
      <c r="S133" s="247"/>
      <c r="T133" s="247"/>
      <c r="U133" s="247"/>
      <c r="V133" s="247"/>
    </row>
    <row r="134" spans="1:22" ht="13.5" customHeight="1">
      <c r="A134" s="163"/>
      <c r="B134" s="224"/>
      <c r="C134" s="224"/>
      <c r="D134" s="224"/>
      <c r="E134" s="224"/>
      <c r="F134" s="224"/>
      <c r="G134" s="224"/>
      <c r="H134" s="224"/>
      <c r="I134" s="225"/>
      <c r="J134" s="392" t="s">
        <v>27</v>
      </c>
      <c r="K134" s="224"/>
      <c r="L134" s="224"/>
      <c r="M134" s="454"/>
      <c r="N134" s="454"/>
      <c r="O134" s="454"/>
      <c r="P134" s="247"/>
      <c r="Q134" s="247"/>
      <c r="R134" s="247"/>
      <c r="S134" s="247"/>
      <c r="T134" s="247"/>
      <c r="U134" s="247"/>
      <c r="V134" s="247"/>
    </row>
    <row r="135" spans="1:22" ht="15" customHeight="1">
      <c r="A135" s="163"/>
      <c r="B135" s="163"/>
      <c r="C135" s="163"/>
      <c r="D135" s="163"/>
      <c r="E135" s="226"/>
      <c r="F135" s="226"/>
      <c r="G135" s="226"/>
      <c r="H135" s="214"/>
      <c r="I135" s="227"/>
      <c r="J135" s="228"/>
      <c r="K135" s="229"/>
      <c r="L135" s="230"/>
      <c r="M135" s="455"/>
      <c r="N135" s="455"/>
      <c r="O135" s="455"/>
      <c r="P135" s="188">
        <v>42579</v>
      </c>
      <c r="Q135" s="194">
        <v>11568</v>
      </c>
      <c r="R135" s="247"/>
      <c r="S135" s="247"/>
      <c r="T135" s="247"/>
      <c r="U135" s="247"/>
      <c r="V135" s="247"/>
    </row>
    <row r="136" spans="1:22" ht="15" customHeight="1">
      <c r="A136" s="163"/>
      <c r="B136" s="163"/>
      <c r="C136" s="231"/>
      <c r="D136" s="226" t="s">
        <v>135</v>
      </c>
      <c r="E136" s="5"/>
      <c r="F136" s="163"/>
      <c r="G136" s="226"/>
      <c r="H136" s="214"/>
      <c r="I136" s="231"/>
      <c r="J136" s="232"/>
      <c r="K136" s="229" t="s">
        <v>136</v>
      </c>
      <c r="L136" s="230"/>
      <c r="M136" s="455"/>
      <c r="N136" s="455"/>
      <c r="O136" s="455"/>
      <c r="P136" s="190">
        <v>8170</v>
      </c>
      <c r="Q136" s="195">
        <v>680.83333333333337</v>
      </c>
      <c r="R136" s="247"/>
      <c r="S136" s="247"/>
      <c r="T136" s="247"/>
      <c r="U136" s="247"/>
      <c r="V136" s="247"/>
    </row>
    <row r="137" spans="1:22" ht="13.5" customHeight="1">
      <c r="A137" s="163"/>
      <c r="B137" s="163"/>
      <c r="C137" s="231"/>
      <c r="D137" s="226"/>
      <c r="E137" s="163"/>
      <c r="F137" s="163"/>
      <c r="G137" s="226"/>
      <c r="H137" s="214"/>
      <c r="I137" s="231"/>
      <c r="J137" s="232"/>
      <c r="K137" s="229"/>
      <c r="L137" s="230"/>
      <c r="M137" s="455"/>
      <c r="N137" s="455"/>
      <c r="O137" s="455"/>
      <c r="P137" s="190">
        <v>50749</v>
      </c>
      <c r="Q137" s="197">
        <v>12248.833333333334</v>
      </c>
      <c r="R137" s="247"/>
      <c r="S137" s="247"/>
      <c r="T137" s="247"/>
      <c r="U137" s="247"/>
      <c r="V137" s="247"/>
    </row>
    <row r="138" spans="1:22" ht="26.25" customHeight="1" thickBot="1">
      <c r="A138" s="163"/>
      <c r="B138" s="233"/>
      <c r="C138" s="233"/>
      <c r="D138" s="237"/>
      <c r="E138" s="233"/>
      <c r="F138" s="233"/>
      <c r="G138" s="234"/>
      <c r="H138" s="235"/>
      <c r="I138" s="233"/>
      <c r="J138" s="236" t="s">
        <v>252</v>
      </c>
      <c r="K138" s="238"/>
      <c r="L138" s="238"/>
      <c r="M138" s="456"/>
      <c r="N138" s="456"/>
      <c r="O138" s="456"/>
      <c r="P138" s="191">
        <v>17700</v>
      </c>
      <c r="Q138" s="199">
        <v>5100</v>
      </c>
      <c r="R138" s="247"/>
      <c r="S138" s="247"/>
      <c r="T138" s="247"/>
      <c r="U138" s="247"/>
      <c r="V138" s="247"/>
    </row>
    <row r="139" spans="1:22" ht="22.5" customHeight="1" thickBot="1">
      <c r="A139" s="163"/>
      <c r="B139" s="239"/>
      <c r="C139" s="233"/>
      <c r="D139" s="233"/>
      <c r="E139" s="235"/>
      <c r="F139" s="235"/>
      <c r="G139" s="235"/>
      <c r="H139" s="235"/>
      <c r="I139" s="235"/>
      <c r="J139" s="393" t="s">
        <v>282</v>
      </c>
      <c r="K139" s="240"/>
      <c r="L139" s="451">
        <v>2012</v>
      </c>
      <c r="M139" s="457"/>
      <c r="N139" s="457"/>
      <c r="O139" s="457"/>
      <c r="P139" s="187">
        <v>68449</v>
      </c>
      <c r="Q139" s="247"/>
      <c r="R139" s="247"/>
      <c r="S139" s="247"/>
      <c r="T139" s="247"/>
      <c r="U139" s="247"/>
      <c r="V139" s="247"/>
    </row>
    <row r="140" spans="1:22" s="247" customFormat="1" ht="60" customHeight="1" thickBot="1">
      <c r="A140" s="396"/>
      <c r="B140" s="241" t="s">
        <v>137</v>
      </c>
      <c r="C140" s="242" t="s">
        <v>138</v>
      </c>
      <c r="D140" s="241" t="s">
        <v>139</v>
      </c>
      <c r="E140" s="241" t="s">
        <v>140</v>
      </c>
      <c r="F140" s="241" t="s">
        <v>141</v>
      </c>
      <c r="G140" s="241" t="s">
        <v>142</v>
      </c>
      <c r="H140" s="243" t="s">
        <v>126</v>
      </c>
      <c r="I140" s="241" t="s">
        <v>143</v>
      </c>
      <c r="J140" s="244" t="s">
        <v>144</v>
      </c>
      <c r="K140" s="245" t="s">
        <v>145</v>
      </c>
      <c r="L140" s="246" t="s">
        <v>146</v>
      </c>
      <c r="M140" s="458" t="s">
        <v>147</v>
      </c>
      <c r="N140" s="524"/>
      <c r="O140" s="560"/>
      <c r="T140" s="286">
        <f>Q140-S140</f>
        <v>0</v>
      </c>
      <c r="U140" s="209"/>
      <c r="V140" s="209"/>
    </row>
    <row r="141" spans="1:22" s="247" customFormat="1" ht="15" customHeight="1" thickBot="1">
      <c r="A141" s="396"/>
      <c r="B141" s="248" t="s">
        <v>148</v>
      </c>
      <c r="C141" s="249">
        <v>25</v>
      </c>
      <c r="D141" s="517" t="s">
        <v>267</v>
      </c>
      <c r="E141" s="250">
        <v>1</v>
      </c>
      <c r="F141" s="250">
        <v>1111</v>
      </c>
      <c r="G141" s="250">
        <v>10430</v>
      </c>
      <c r="H141" s="251"/>
      <c r="I141" s="252"/>
      <c r="J141" s="253" t="s">
        <v>149</v>
      </c>
      <c r="K141" s="254">
        <f>SUM(K142+K143+K144+K145)</f>
        <v>0</v>
      </c>
      <c r="L141" s="254">
        <f>SUM(L142+L143+L144+L145)</f>
        <v>0</v>
      </c>
      <c r="M141" s="459">
        <f>SUM(M142+M143+M144+M145)</f>
        <v>0</v>
      </c>
      <c r="N141" s="525"/>
      <c r="O141" s="459"/>
      <c r="P141" s="298"/>
    </row>
    <row r="142" spans="1:22" s="247" customFormat="1" ht="15" customHeight="1">
      <c r="A142" s="396"/>
      <c r="B142" s="255"/>
      <c r="C142" s="256"/>
      <c r="D142" s="256"/>
      <c r="E142" s="256">
        <v>1</v>
      </c>
      <c r="F142" s="256"/>
      <c r="G142" s="256"/>
      <c r="H142" s="257"/>
      <c r="I142" s="258"/>
      <c r="J142" s="259" t="s">
        <v>150</v>
      </c>
      <c r="K142" s="260"/>
      <c r="L142" s="261"/>
      <c r="M142" s="460"/>
      <c r="N142" s="526"/>
      <c r="O142" s="561"/>
      <c r="P142" s="298" t="s">
        <v>266</v>
      </c>
    </row>
    <row r="143" spans="1:22" s="247" customFormat="1" ht="15" customHeight="1">
      <c r="A143" s="396"/>
      <c r="B143" s="262"/>
      <c r="C143" s="263"/>
      <c r="D143" s="263"/>
      <c r="E143" s="263">
        <v>5</v>
      </c>
      <c r="F143" s="263"/>
      <c r="G143" s="263"/>
      <c r="H143" s="264"/>
      <c r="I143" s="265"/>
      <c r="J143" s="266" t="s">
        <v>151</v>
      </c>
      <c r="K143" s="267"/>
      <c r="L143" s="268"/>
      <c r="M143" s="461"/>
      <c r="N143" s="527"/>
      <c r="O143" s="561"/>
      <c r="P143" s="298" t="s">
        <v>287</v>
      </c>
      <c r="Q143" s="247" t="s">
        <v>288</v>
      </c>
    </row>
    <row r="144" spans="1:22" s="247" customFormat="1" ht="15" customHeight="1">
      <c r="A144" s="396"/>
      <c r="B144" s="262"/>
      <c r="C144" s="263"/>
      <c r="D144" s="263"/>
      <c r="E144" s="263">
        <v>5</v>
      </c>
      <c r="F144" s="263"/>
      <c r="G144" s="263"/>
      <c r="H144" s="264"/>
      <c r="I144" s="265"/>
      <c r="J144" s="266" t="s">
        <v>254</v>
      </c>
      <c r="K144" s="267"/>
      <c r="L144" s="268"/>
      <c r="M144" s="461"/>
      <c r="N144" s="527"/>
      <c r="O144" s="561"/>
      <c r="P144" s="298">
        <v>3384027</v>
      </c>
      <c r="Q144" s="247">
        <v>3576047</v>
      </c>
      <c r="R144" s="298">
        <f>P144-Q144</f>
        <v>-192020</v>
      </c>
    </row>
    <row r="145" spans="1:22" s="247" customFormat="1" ht="15" customHeight="1" thickBot="1">
      <c r="A145" s="396"/>
      <c r="B145" s="269"/>
      <c r="C145" s="270"/>
      <c r="D145" s="270"/>
      <c r="E145" s="270">
        <v>6</v>
      </c>
      <c r="F145" s="270"/>
      <c r="G145" s="270"/>
      <c r="H145" s="271"/>
      <c r="I145" s="272"/>
      <c r="J145" s="273" t="s">
        <v>152</v>
      </c>
      <c r="K145" s="274"/>
      <c r="L145" s="275"/>
      <c r="M145" s="462"/>
      <c r="N145" s="528"/>
      <c r="O145" s="561"/>
      <c r="P145" s="298"/>
      <c r="R145" s="247">
        <v>64000</v>
      </c>
      <c r="S145" s="247" t="s">
        <v>284</v>
      </c>
    </row>
    <row r="146" spans="1:22" s="247" customFormat="1" ht="18" customHeight="1" thickBot="1">
      <c r="A146" s="396"/>
      <c r="B146" s="276"/>
      <c r="C146" s="277"/>
      <c r="D146" s="277"/>
      <c r="E146" s="277"/>
      <c r="F146" s="277"/>
      <c r="G146" s="277"/>
      <c r="H146" s="277"/>
      <c r="I146" s="278"/>
      <c r="J146" s="279" t="s">
        <v>153</v>
      </c>
      <c r="K146" s="574">
        <f>SUM(K147+K162+K165+K244)</f>
        <v>68449</v>
      </c>
      <c r="L146" s="574">
        <f>SUM(L147+L162+L165+L244)</f>
        <v>17349</v>
      </c>
      <c r="M146" s="574">
        <f>SUM(M147+M162+M165+M244)</f>
        <v>8723743</v>
      </c>
      <c r="N146" s="575"/>
      <c r="O146" s="576">
        <f>SUM(M146:N146)</f>
        <v>8723743</v>
      </c>
      <c r="P146" s="298"/>
      <c r="R146" s="247">
        <v>48000</v>
      </c>
      <c r="S146" s="247" t="s">
        <v>285</v>
      </c>
    </row>
    <row r="147" spans="1:22" s="209" customFormat="1" ht="13.5" thickBot="1">
      <c r="A147" s="383"/>
      <c r="B147" s="280"/>
      <c r="C147" s="281"/>
      <c r="D147" s="281"/>
      <c r="E147" s="281"/>
      <c r="F147" s="281"/>
      <c r="G147" s="281"/>
      <c r="H147" s="282">
        <v>600</v>
      </c>
      <c r="I147" s="283"/>
      <c r="J147" s="284" t="s">
        <v>154</v>
      </c>
      <c r="K147" s="285">
        <f>SUM(K148+K149+K150+K151+K152+K153+K154+K155+K156+K157+K158+K159+K160+K161)</f>
        <v>42579</v>
      </c>
      <c r="L147" s="491">
        <f>SUM(L148+L149+L150+L151+L152+L153+L154+L155+L156+L157+L158+L159+L160+L161)</f>
        <v>11568</v>
      </c>
      <c r="M147" s="285">
        <f>M148+M158+M161</f>
        <v>3576047</v>
      </c>
      <c r="N147" s="529"/>
      <c r="O147" s="529">
        <f>O148+O158+O161</f>
        <v>0</v>
      </c>
      <c r="P147" s="298"/>
      <c r="Q147" s="247"/>
      <c r="R147" s="247">
        <v>80020</v>
      </c>
      <c r="S147" s="247" t="s">
        <v>286</v>
      </c>
      <c r="T147" s="247"/>
      <c r="U147" s="247"/>
      <c r="V147" s="247"/>
    </row>
    <row r="148" spans="1:22" s="247" customFormat="1">
      <c r="A148" s="396"/>
      <c r="B148" s="287"/>
      <c r="C148" s="288"/>
      <c r="D148" s="288"/>
      <c r="E148" s="288"/>
      <c r="F148" s="288"/>
      <c r="G148" s="288"/>
      <c r="H148" s="289"/>
      <c r="I148" s="290">
        <v>600.1</v>
      </c>
      <c r="J148" s="291" t="s">
        <v>155</v>
      </c>
      <c r="K148" s="522">
        <v>42579</v>
      </c>
      <c r="L148" s="477">
        <v>11568</v>
      </c>
      <c r="M148" s="463">
        <f>SUM(M149:M153)</f>
        <v>3576047</v>
      </c>
      <c r="N148" s="530"/>
      <c r="O148" s="562"/>
      <c r="P148" s="298"/>
    </row>
    <row r="149" spans="1:22" s="247" customFormat="1">
      <c r="A149" s="396"/>
      <c r="B149" s="292"/>
      <c r="C149" s="293"/>
      <c r="D149" s="293"/>
      <c r="E149" s="293"/>
      <c r="F149" s="293"/>
      <c r="G149" s="293"/>
      <c r="H149" s="294"/>
      <c r="I149" s="295">
        <v>600.1001</v>
      </c>
      <c r="J149" s="296" t="s">
        <v>156</v>
      </c>
      <c r="K149" s="297"/>
      <c r="L149" s="492"/>
      <c r="M149" s="464">
        <f>666929+192020</f>
        <v>858949</v>
      </c>
      <c r="N149" s="531"/>
      <c r="O149" s="562"/>
      <c r="P149" s="298"/>
    </row>
    <row r="150" spans="1:22" s="247" customFormat="1">
      <c r="A150" s="396"/>
      <c r="B150" s="292"/>
      <c r="C150" s="293"/>
      <c r="D150" s="293"/>
      <c r="E150" s="293"/>
      <c r="F150" s="293"/>
      <c r="G150" s="293"/>
      <c r="H150" s="294"/>
      <c r="I150" s="295">
        <v>600.10019999999997</v>
      </c>
      <c r="J150" s="296" t="s">
        <v>157</v>
      </c>
      <c r="K150" s="297"/>
      <c r="L150" s="492"/>
      <c r="M150" s="464">
        <v>0</v>
      </c>
      <c r="N150" s="531"/>
      <c r="O150" s="562"/>
      <c r="P150" s="298"/>
    </row>
    <row r="151" spans="1:22" s="247" customFormat="1">
      <c r="A151" s="396"/>
      <c r="B151" s="292"/>
      <c r="C151" s="293"/>
      <c r="D151" s="293"/>
      <c r="E151" s="293"/>
      <c r="F151" s="293"/>
      <c r="G151" s="293"/>
      <c r="H151" s="294"/>
      <c r="I151" s="295">
        <v>600.10029999999995</v>
      </c>
      <c r="J151" s="296" t="s">
        <v>158</v>
      </c>
      <c r="K151" s="297"/>
      <c r="L151" s="492"/>
      <c r="M151" s="464">
        <v>181456</v>
      </c>
      <c r="N151" s="531"/>
      <c r="O151" s="562"/>
      <c r="P151" s="298"/>
    </row>
    <row r="152" spans="1:22" s="247" customFormat="1">
      <c r="A152" s="396"/>
      <c r="B152" s="292"/>
      <c r="C152" s="293"/>
      <c r="D152" s="293"/>
      <c r="E152" s="293"/>
      <c r="F152" s="293"/>
      <c r="G152" s="293"/>
      <c r="H152" s="294"/>
      <c r="I152" s="295">
        <v>600.10050000000001</v>
      </c>
      <c r="J152" s="296" t="s">
        <v>159</v>
      </c>
      <c r="K152" s="297"/>
      <c r="L152" s="492"/>
      <c r="M152" s="464">
        <v>2444319</v>
      </c>
      <c r="N152" s="531"/>
      <c r="O152" s="562"/>
      <c r="P152" s="298"/>
    </row>
    <row r="153" spans="1:22" s="247" customFormat="1">
      <c r="A153" s="396"/>
      <c r="B153" s="292"/>
      <c r="C153" s="293"/>
      <c r="D153" s="293"/>
      <c r="E153" s="293"/>
      <c r="F153" s="293"/>
      <c r="G153" s="293"/>
      <c r="H153" s="294"/>
      <c r="I153" s="295"/>
      <c r="J153" s="296" t="s">
        <v>160</v>
      </c>
      <c r="K153" s="297"/>
      <c r="L153" s="492"/>
      <c r="M153" s="464">
        <f>12925+78398</f>
        <v>91323</v>
      </c>
      <c r="N153" s="531"/>
      <c r="O153" s="562"/>
    </row>
    <row r="154" spans="1:22" s="247" customFormat="1">
      <c r="A154" s="396"/>
      <c r="B154" s="299"/>
      <c r="C154" s="293"/>
      <c r="D154" s="293"/>
      <c r="E154" s="293"/>
      <c r="F154" s="293"/>
      <c r="G154" s="293"/>
      <c r="H154" s="294"/>
      <c r="I154" s="295">
        <v>600.20000000000005</v>
      </c>
      <c r="J154" s="296" t="s">
        <v>161</v>
      </c>
      <c r="K154" s="297"/>
      <c r="L154" s="492"/>
      <c r="M154" s="464"/>
      <c r="N154" s="531"/>
      <c r="O154" s="562"/>
    </row>
    <row r="155" spans="1:22" s="247" customFormat="1">
      <c r="A155" s="396"/>
      <c r="B155" s="299"/>
      <c r="C155" s="293"/>
      <c r="D155" s="293"/>
      <c r="E155" s="293"/>
      <c r="F155" s="293"/>
      <c r="G155" s="293"/>
      <c r="H155" s="294"/>
      <c r="I155" s="295">
        <v>600.21</v>
      </c>
      <c r="J155" s="296" t="s">
        <v>162</v>
      </c>
      <c r="K155" s="297"/>
      <c r="L155" s="492"/>
      <c r="M155" s="464"/>
      <c r="N155" s="531"/>
      <c r="O155" s="562"/>
      <c r="P155" s="298"/>
      <c r="T155" s="209"/>
      <c r="U155" s="209"/>
      <c r="V155" s="209"/>
    </row>
    <row r="156" spans="1:22" s="247" customFormat="1">
      <c r="A156" s="396"/>
      <c r="B156" s="299"/>
      <c r="C156" s="293"/>
      <c r="D156" s="293"/>
      <c r="E156" s="293"/>
      <c r="F156" s="293"/>
      <c r="G156" s="293"/>
      <c r="H156" s="294"/>
      <c r="I156" s="295">
        <v>600.22</v>
      </c>
      <c r="J156" s="296" t="s">
        <v>163</v>
      </c>
      <c r="K156" s="297"/>
      <c r="L156" s="492"/>
      <c r="M156" s="464"/>
      <c r="N156" s="531"/>
      <c r="O156" s="562"/>
    </row>
    <row r="157" spans="1:22" s="247" customFormat="1">
      <c r="A157" s="396"/>
      <c r="B157" s="299"/>
      <c r="C157" s="293"/>
      <c r="D157" s="293"/>
      <c r="E157" s="293"/>
      <c r="F157" s="293"/>
      <c r="G157" s="293"/>
      <c r="H157" s="294"/>
      <c r="I157" s="295">
        <v>600.29</v>
      </c>
      <c r="J157" s="296" t="s">
        <v>164</v>
      </c>
      <c r="K157" s="297"/>
      <c r="L157" s="492"/>
      <c r="M157" s="464"/>
      <c r="N157" s="531"/>
      <c r="O157" s="562"/>
    </row>
    <row r="158" spans="1:22" s="247" customFormat="1">
      <c r="A158" s="396"/>
      <c r="B158" s="299"/>
      <c r="C158" s="293"/>
      <c r="D158" s="293"/>
      <c r="E158" s="293"/>
      <c r="F158" s="293"/>
      <c r="G158" s="293"/>
      <c r="H158" s="294"/>
      <c r="I158" s="295">
        <v>600.29999999999995</v>
      </c>
      <c r="J158" s="296" t="s">
        <v>165</v>
      </c>
      <c r="K158" s="297"/>
      <c r="L158" s="492"/>
      <c r="M158" s="464"/>
      <c r="N158" s="531"/>
      <c r="O158" s="562"/>
      <c r="P158" s="298">
        <f>M165-O165</f>
        <v>-4</v>
      </c>
      <c r="T158" s="319"/>
      <c r="U158" s="319"/>
      <c r="V158" s="319"/>
    </row>
    <row r="159" spans="1:22" s="247" customFormat="1">
      <c r="A159" s="396"/>
      <c r="B159" s="299"/>
      <c r="C159" s="293"/>
      <c r="D159" s="293"/>
      <c r="E159" s="293"/>
      <c r="F159" s="293"/>
      <c r="G159" s="293"/>
      <c r="H159" s="294"/>
      <c r="I159" s="295">
        <v>600.30999999999995</v>
      </c>
      <c r="J159" s="296" t="s">
        <v>166</v>
      </c>
      <c r="K159" s="297"/>
      <c r="L159" s="492"/>
      <c r="M159" s="464"/>
      <c r="N159" s="531"/>
      <c r="O159" s="562"/>
      <c r="P159" s="149"/>
      <c r="T159" s="149"/>
      <c r="U159" s="149"/>
      <c r="V159" s="149"/>
    </row>
    <row r="160" spans="1:22" s="247" customFormat="1">
      <c r="A160" s="396"/>
      <c r="B160" s="299"/>
      <c r="C160" s="293"/>
      <c r="D160" s="293"/>
      <c r="E160" s="293"/>
      <c r="F160" s="293"/>
      <c r="G160" s="293"/>
      <c r="H160" s="294"/>
      <c r="I160" s="295"/>
      <c r="J160" s="296" t="s">
        <v>164</v>
      </c>
      <c r="K160" s="297"/>
      <c r="L160" s="492"/>
      <c r="M160" s="465"/>
      <c r="N160" s="532"/>
      <c r="O160" s="563"/>
      <c r="P160" s="512"/>
      <c r="Q160" s="512"/>
      <c r="R160" s="513"/>
      <c r="S160" s="513"/>
      <c r="T160" s="512"/>
      <c r="U160" s="512"/>
      <c r="V160" s="149"/>
    </row>
    <row r="161" spans="1:22" s="247" customFormat="1" ht="13.5" thickBot="1">
      <c r="A161" s="396"/>
      <c r="B161" s="300"/>
      <c r="C161" s="301"/>
      <c r="D161" s="301"/>
      <c r="E161" s="301"/>
      <c r="F161" s="301"/>
      <c r="G161" s="301"/>
      <c r="H161" s="302"/>
      <c r="I161" s="303">
        <v>600.9</v>
      </c>
      <c r="J161" s="304" t="s">
        <v>167</v>
      </c>
      <c r="K161" s="305"/>
      <c r="L161" s="493"/>
      <c r="M161" s="466"/>
      <c r="N161" s="533"/>
      <c r="O161" s="563"/>
      <c r="P161" s="149"/>
      <c r="T161" s="149"/>
      <c r="U161" s="149"/>
      <c r="V161" s="149"/>
    </row>
    <row r="162" spans="1:22" s="209" customFormat="1" ht="13.5" thickBot="1">
      <c r="A162" s="383"/>
      <c r="B162" s="280"/>
      <c r="C162" s="281"/>
      <c r="D162" s="281"/>
      <c r="E162" s="281"/>
      <c r="F162" s="281"/>
      <c r="G162" s="281"/>
      <c r="H162" s="282">
        <v>601</v>
      </c>
      <c r="I162" s="283"/>
      <c r="J162" s="284" t="s">
        <v>168</v>
      </c>
      <c r="K162" s="285">
        <v>8170</v>
      </c>
      <c r="L162" s="577">
        <v>681</v>
      </c>
      <c r="M162" s="285">
        <f>SUM(M163+M164)</f>
        <v>552050</v>
      </c>
      <c r="N162" s="529"/>
      <c r="O162" s="285"/>
      <c r="P162" s="149"/>
      <c r="Q162" s="247"/>
      <c r="R162" s="247"/>
      <c r="S162" s="247"/>
      <c r="T162" s="149"/>
      <c r="U162" s="149"/>
      <c r="V162" s="149"/>
    </row>
    <row r="163" spans="1:22" s="247" customFormat="1">
      <c r="A163" s="396"/>
      <c r="B163" s="306"/>
      <c r="C163" s="307"/>
      <c r="D163" s="307"/>
      <c r="E163" s="307"/>
      <c r="F163" s="307"/>
      <c r="G163" s="307"/>
      <c r="H163" s="308"/>
      <c r="I163" s="309">
        <v>601.01</v>
      </c>
      <c r="J163" s="291" t="s">
        <v>169</v>
      </c>
      <c r="K163" s="310"/>
      <c r="L163" s="494"/>
      <c r="M163" s="463">
        <v>495849</v>
      </c>
      <c r="N163" s="530"/>
      <c r="O163" s="562"/>
      <c r="P163" s="149"/>
      <c r="T163" s="149"/>
      <c r="U163" s="149"/>
      <c r="V163" s="149"/>
    </row>
    <row r="164" spans="1:22" s="247" customFormat="1" ht="18.75" customHeight="1" thickBot="1">
      <c r="A164" s="396"/>
      <c r="B164" s="300"/>
      <c r="C164" s="301"/>
      <c r="D164" s="301"/>
      <c r="E164" s="301"/>
      <c r="F164" s="301"/>
      <c r="G164" s="301"/>
      <c r="H164" s="302"/>
      <c r="I164" s="311">
        <v>601.11</v>
      </c>
      <c r="J164" s="304" t="s">
        <v>253</v>
      </c>
      <c r="K164" s="312"/>
      <c r="L164" s="495"/>
      <c r="M164" s="467">
        <v>56201</v>
      </c>
      <c r="N164" s="534"/>
      <c r="O164" s="562"/>
      <c r="P164" s="149"/>
      <c r="T164" s="149"/>
      <c r="U164" s="149"/>
      <c r="V164" s="149"/>
    </row>
    <row r="165" spans="1:22" s="319" customFormat="1" ht="13.5" thickBot="1">
      <c r="A165" s="397"/>
      <c r="B165" s="313"/>
      <c r="C165" s="314"/>
      <c r="D165" s="314"/>
      <c r="E165" s="314"/>
      <c r="F165" s="314"/>
      <c r="G165" s="314"/>
      <c r="H165" s="315">
        <v>602</v>
      </c>
      <c r="I165" s="316"/>
      <c r="J165" s="317" t="s">
        <v>170</v>
      </c>
      <c r="K165" s="285">
        <v>17700</v>
      </c>
      <c r="L165" s="285">
        <v>5100</v>
      </c>
      <c r="M165" s="285">
        <f>SUM(M166+M173+M186+M201+M206+M209+M218+M224+M231+M234)</f>
        <v>4595646</v>
      </c>
      <c r="N165" s="535"/>
      <c r="O165" s="318">
        <v>4595650</v>
      </c>
      <c r="P165" s="149"/>
      <c r="Q165" s="247"/>
      <c r="R165" s="247"/>
      <c r="S165" s="247"/>
      <c r="T165" s="149"/>
      <c r="U165" s="149"/>
      <c r="V165" s="149"/>
    </row>
    <row r="166" spans="1:22" ht="14.25" customHeight="1" thickBot="1">
      <c r="A166" s="163"/>
      <c r="B166" s="320"/>
      <c r="C166" s="321"/>
      <c r="D166" s="321"/>
      <c r="E166" s="321"/>
      <c r="F166" s="321"/>
      <c r="G166" s="321"/>
      <c r="H166" s="322"/>
      <c r="I166" s="323">
        <v>6020</v>
      </c>
      <c r="J166" s="324" t="s">
        <v>171</v>
      </c>
      <c r="K166" s="325">
        <f>SUM(K167+K168+K169+K170+K171+K172)</f>
        <v>0</v>
      </c>
      <c r="L166" s="496">
        <f>SUM(L167+L168+L169+L170+L171+L172)</f>
        <v>0</v>
      </c>
      <c r="M166" s="447">
        <f>SUM(M167+M168+M169+M170+M171+M172)</f>
        <v>510000</v>
      </c>
      <c r="N166" s="536"/>
      <c r="O166" s="564"/>
      <c r="Q166" s="247"/>
      <c r="R166" s="247"/>
      <c r="S166" s="247"/>
    </row>
    <row r="167" spans="1:22" ht="12" customHeight="1" thickBot="1">
      <c r="A167" s="163"/>
      <c r="B167" s="326"/>
      <c r="C167" s="327"/>
      <c r="D167" s="327"/>
      <c r="E167" s="327"/>
      <c r="F167" s="327"/>
      <c r="G167" s="327"/>
      <c r="H167" s="328"/>
      <c r="I167" s="329" t="s">
        <v>11</v>
      </c>
      <c r="J167" s="330" t="s">
        <v>172</v>
      </c>
      <c r="K167" s="331"/>
      <c r="L167" s="497"/>
      <c r="M167" s="468"/>
      <c r="N167" s="537"/>
      <c r="O167" s="325"/>
      <c r="Q167" s="247"/>
      <c r="R167" s="247"/>
      <c r="S167" s="247"/>
    </row>
    <row r="168" spans="1:22" ht="12" customHeight="1">
      <c r="A168" s="163"/>
      <c r="B168" s="332"/>
      <c r="C168" s="333"/>
      <c r="D168" s="333"/>
      <c r="E168" s="333"/>
      <c r="F168" s="333"/>
      <c r="G168" s="333"/>
      <c r="H168" s="334"/>
      <c r="I168" s="335">
        <v>602.02</v>
      </c>
      <c r="J168" s="336" t="s">
        <v>173</v>
      </c>
      <c r="K168" s="337"/>
      <c r="L168" s="498"/>
      <c r="M168" s="469">
        <v>65000</v>
      </c>
      <c r="N168" s="538"/>
      <c r="O168" s="565"/>
      <c r="Q168" s="247"/>
      <c r="R168" s="247"/>
      <c r="S168" s="247"/>
    </row>
    <row r="169" spans="1:22" ht="12" customHeight="1">
      <c r="A169" s="163"/>
      <c r="B169" s="339"/>
      <c r="C169" s="340"/>
      <c r="D169" s="340"/>
      <c r="E169" s="340"/>
      <c r="F169" s="340"/>
      <c r="G169" s="340"/>
      <c r="H169" s="150"/>
      <c r="I169" s="341">
        <v>602.03</v>
      </c>
      <c r="J169" s="342" t="s">
        <v>174</v>
      </c>
      <c r="K169" s="343"/>
      <c r="L169" s="499"/>
      <c r="M169" s="470">
        <v>37000</v>
      </c>
      <c r="N169" s="539"/>
      <c r="O169" s="565"/>
      <c r="Q169" s="247"/>
      <c r="R169" s="247"/>
      <c r="S169" s="247"/>
    </row>
    <row r="170" spans="1:22" ht="12" customHeight="1">
      <c r="A170" s="163"/>
      <c r="B170" s="339"/>
      <c r="C170" s="340"/>
      <c r="D170" s="340"/>
      <c r="E170" s="340"/>
      <c r="F170" s="340"/>
      <c r="G170" s="340"/>
      <c r="H170" s="150"/>
      <c r="I170" s="341">
        <v>602.04</v>
      </c>
      <c r="J170" s="342" t="s">
        <v>175</v>
      </c>
      <c r="K170" s="343"/>
      <c r="L170" s="499"/>
      <c r="M170" s="470"/>
      <c r="N170" s="539"/>
      <c r="O170" s="565"/>
      <c r="Q170" s="247"/>
      <c r="R170" s="247"/>
      <c r="S170" s="247"/>
    </row>
    <row r="171" spans="1:22" ht="12" customHeight="1">
      <c r="A171" s="163"/>
      <c r="B171" s="339"/>
      <c r="C171" s="340"/>
      <c r="D171" s="340"/>
      <c r="E171" s="340"/>
      <c r="F171" s="340"/>
      <c r="G171" s="340"/>
      <c r="H171" s="150"/>
      <c r="I171" s="341">
        <v>602.04999999999995</v>
      </c>
      <c r="J171" s="342" t="s">
        <v>176</v>
      </c>
      <c r="K171" s="343"/>
      <c r="L171" s="499"/>
      <c r="M171" s="470">
        <v>0</v>
      </c>
      <c r="N171" s="539"/>
      <c r="O171" s="565"/>
      <c r="Q171" s="298"/>
      <c r="R171" s="247"/>
      <c r="S171" s="247"/>
    </row>
    <row r="172" spans="1:22" ht="12" customHeight="1" thickBot="1">
      <c r="A172" s="163"/>
      <c r="B172" s="345"/>
      <c r="C172" s="346"/>
      <c r="D172" s="346"/>
      <c r="E172" s="346"/>
      <c r="F172" s="346"/>
      <c r="G172" s="346"/>
      <c r="H172" s="164"/>
      <c r="I172" s="347">
        <v>602.09</v>
      </c>
      <c r="J172" s="348" t="s">
        <v>177</v>
      </c>
      <c r="K172" s="349"/>
      <c r="L172" s="500"/>
      <c r="M172" s="471">
        <v>408000</v>
      </c>
      <c r="N172" s="540"/>
      <c r="O172" s="565"/>
      <c r="Q172" s="247"/>
      <c r="R172" s="247"/>
      <c r="S172" s="247"/>
    </row>
    <row r="173" spans="1:22" ht="13.5" thickBot="1">
      <c r="A173" s="163"/>
      <c r="B173" s="320"/>
      <c r="C173" s="321"/>
      <c r="D173" s="321"/>
      <c r="E173" s="321"/>
      <c r="F173" s="321"/>
      <c r="G173" s="321"/>
      <c r="H173" s="322"/>
      <c r="I173" s="323">
        <v>602.1</v>
      </c>
      <c r="J173" s="324" t="s">
        <v>178</v>
      </c>
      <c r="K173" s="351">
        <f>SUM(K174+K175+K176+K177+K178+K179+K180+K181+K182+K183+K184+K185)</f>
        <v>0</v>
      </c>
      <c r="L173" s="501">
        <f>SUM(L174+L175+L176+L177+L178+L179+L180+L181+L182+L183+L184+L185)</f>
        <v>0</v>
      </c>
      <c r="M173" s="472">
        <f>SUM(M174+M175+M176+M177+M178+M179+M180+M181+M182+M183+M184+M185)</f>
        <v>0</v>
      </c>
      <c r="N173" s="541"/>
      <c r="O173" s="472"/>
      <c r="Q173" s="247"/>
      <c r="R173" s="247"/>
      <c r="S173" s="247"/>
    </row>
    <row r="174" spans="1:22" ht="12" customHeight="1">
      <c r="A174" s="163"/>
      <c r="B174" s="352"/>
      <c r="C174" s="353"/>
      <c r="D174" s="353"/>
      <c r="E174" s="353"/>
      <c r="F174" s="353"/>
      <c r="G174" s="353"/>
      <c r="H174" s="354"/>
      <c r="I174" s="355">
        <v>602.1001</v>
      </c>
      <c r="J174" s="356" t="s">
        <v>179</v>
      </c>
      <c r="K174" s="357"/>
      <c r="L174" s="502"/>
      <c r="M174" s="473"/>
      <c r="N174" s="542"/>
      <c r="O174" s="565"/>
      <c r="Q174" s="247"/>
      <c r="R174" s="247"/>
      <c r="S174" s="247"/>
    </row>
    <row r="175" spans="1:22" ht="12" customHeight="1">
      <c r="A175" s="163"/>
      <c r="B175" s="339"/>
      <c r="C175" s="340"/>
      <c r="D175" s="340"/>
      <c r="E175" s="340"/>
      <c r="F175" s="340"/>
      <c r="G175" s="340"/>
      <c r="H175" s="150"/>
      <c r="I175" s="358">
        <v>602.10019999999997</v>
      </c>
      <c r="J175" s="359" t="s">
        <v>180</v>
      </c>
      <c r="K175" s="343"/>
      <c r="L175" s="503"/>
      <c r="M175" s="470"/>
      <c r="N175" s="539"/>
      <c r="O175" s="565"/>
      <c r="Q175" s="247"/>
      <c r="R175" s="247"/>
      <c r="S175" s="247"/>
    </row>
    <row r="176" spans="1:22" ht="12" customHeight="1">
      <c r="A176" s="163"/>
      <c r="B176" s="339"/>
      <c r="C176" s="340"/>
      <c r="D176" s="340"/>
      <c r="E176" s="340"/>
      <c r="F176" s="340"/>
      <c r="G176" s="340"/>
      <c r="H176" s="150"/>
      <c r="I176" s="358">
        <v>602.10029999999995</v>
      </c>
      <c r="J176" s="359" t="s">
        <v>181</v>
      </c>
      <c r="K176" s="343"/>
      <c r="L176" s="503"/>
      <c r="M176" s="470"/>
      <c r="N176" s="539"/>
      <c r="O176" s="565"/>
      <c r="R176" s="247"/>
      <c r="S176" s="247"/>
    </row>
    <row r="177" spans="1:19" ht="12" customHeight="1">
      <c r="A177" s="163"/>
      <c r="B177" s="339"/>
      <c r="C177" s="340"/>
      <c r="D177" s="340"/>
      <c r="E177" s="340"/>
      <c r="F177" s="340"/>
      <c r="G177" s="340"/>
      <c r="H177" s="150"/>
      <c r="I177" s="358">
        <v>602.10040000000004</v>
      </c>
      <c r="J177" s="359" t="s">
        <v>182</v>
      </c>
      <c r="K177" s="343"/>
      <c r="L177" s="503"/>
      <c r="M177" s="470"/>
      <c r="N177" s="539"/>
      <c r="O177" s="565"/>
      <c r="R177" s="247"/>
      <c r="S177" s="247"/>
    </row>
    <row r="178" spans="1:19" ht="12" customHeight="1">
      <c r="A178" s="163"/>
      <c r="B178" s="339"/>
      <c r="C178" s="340"/>
      <c r="D178" s="340"/>
      <c r="E178" s="340"/>
      <c r="F178" s="340"/>
      <c r="G178" s="340"/>
      <c r="H178" s="150"/>
      <c r="I178" s="358">
        <v>602.10050000000001</v>
      </c>
      <c r="J178" s="359" t="s">
        <v>183</v>
      </c>
      <c r="K178" s="343"/>
      <c r="L178" s="503"/>
      <c r="M178" s="470"/>
      <c r="N178" s="539"/>
      <c r="O178" s="565"/>
      <c r="R178" s="247"/>
      <c r="S178" s="247"/>
    </row>
    <row r="179" spans="1:19" ht="12" customHeight="1">
      <c r="A179" s="163"/>
      <c r="B179" s="339"/>
      <c r="C179" s="340"/>
      <c r="D179" s="340"/>
      <c r="E179" s="340"/>
      <c r="F179" s="340"/>
      <c r="G179" s="340"/>
      <c r="H179" s="150"/>
      <c r="I179" s="358">
        <v>602.10059999999999</v>
      </c>
      <c r="J179" s="359" t="s">
        <v>184</v>
      </c>
      <c r="K179" s="343"/>
      <c r="L179" s="503"/>
      <c r="M179" s="470"/>
      <c r="N179" s="539"/>
      <c r="O179" s="565"/>
      <c r="R179" s="247"/>
      <c r="S179" s="247"/>
    </row>
    <row r="180" spans="1:19" ht="12" customHeight="1">
      <c r="A180" s="163"/>
      <c r="B180" s="339"/>
      <c r="C180" s="340"/>
      <c r="D180" s="340"/>
      <c r="E180" s="340"/>
      <c r="F180" s="340"/>
      <c r="G180" s="340"/>
      <c r="H180" s="150"/>
      <c r="I180" s="358">
        <v>602.10069999999996</v>
      </c>
      <c r="J180" s="359" t="s">
        <v>185</v>
      </c>
      <c r="K180" s="343"/>
      <c r="L180" s="503"/>
      <c r="M180" s="470"/>
      <c r="N180" s="539"/>
      <c r="O180" s="565"/>
      <c r="R180" s="247"/>
      <c r="S180" s="247"/>
    </row>
    <row r="181" spans="1:19" ht="12" customHeight="1">
      <c r="A181" s="163"/>
      <c r="B181" s="339"/>
      <c r="C181" s="340"/>
      <c r="D181" s="340"/>
      <c r="E181" s="340"/>
      <c r="F181" s="340"/>
      <c r="G181" s="340"/>
      <c r="H181" s="150"/>
      <c r="I181" s="358">
        <v>602.10080000000005</v>
      </c>
      <c r="J181" s="359" t="s">
        <v>186</v>
      </c>
      <c r="K181" s="343"/>
      <c r="L181" s="503"/>
      <c r="M181" s="470"/>
      <c r="N181" s="539"/>
      <c r="O181" s="565"/>
      <c r="R181" s="247"/>
      <c r="S181" s="247"/>
    </row>
    <row r="182" spans="1:19" ht="12" customHeight="1">
      <c r="A182" s="163"/>
      <c r="B182" s="339"/>
      <c r="C182" s="340"/>
      <c r="D182" s="340"/>
      <c r="E182" s="340"/>
      <c r="F182" s="340"/>
      <c r="G182" s="340"/>
      <c r="H182" s="150"/>
      <c r="I182" s="358">
        <v>602.10090000000002</v>
      </c>
      <c r="J182" s="342" t="s">
        <v>187</v>
      </c>
      <c r="K182" s="344"/>
      <c r="L182" s="499"/>
      <c r="M182" s="474"/>
      <c r="N182" s="543"/>
      <c r="O182" s="567"/>
      <c r="R182" s="247"/>
      <c r="S182" s="247"/>
    </row>
    <row r="183" spans="1:19" ht="12" customHeight="1">
      <c r="A183" s="163"/>
      <c r="B183" s="339"/>
      <c r="C183" s="340"/>
      <c r="D183" s="340"/>
      <c r="E183" s="340"/>
      <c r="F183" s="340"/>
      <c r="G183" s="340"/>
      <c r="H183" s="150"/>
      <c r="I183" s="358">
        <v>602.101</v>
      </c>
      <c r="J183" s="342" t="s">
        <v>188</v>
      </c>
      <c r="K183" s="344"/>
      <c r="L183" s="499"/>
      <c r="M183" s="474"/>
      <c r="N183" s="543"/>
      <c r="O183" s="567"/>
      <c r="R183" s="247"/>
      <c r="S183" s="247"/>
    </row>
    <row r="184" spans="1:19" ht="12" customHeight="1">
      <c r="A184" s="163"/>
      <c r="B184" s="339"/>
      <c r="C184" s="340"/>
      <c r="D184" s="340"/>
      <c r="E184" s="340"/>
      <c r="F184" s="340"/>
      <c r="G184" s="340"/>
      <c r="H184" s="150"/>
      <c r="I184" s="341">
        <v>602.10109999999997</v>
      </c>
      <c r="J184" s="342" t="s">
        <v>189</v>
      </c>
      <c r="K184" s="344"/>
      <c r="L184" s="499"/>
      <c r="M184" s="474"/>
      <c r="N184" s="543"/>
      <c r="O184" s="567"/>
      <c r="R184" s="247"/>
      <c r="S184" s="247"/>
    </row>
    <row r="185" spans="1:19" ht="12" customHeight="1" thickBot="1">
      <c r="A185" s="163"/>
      <c r="B185" s="367"/>
      <c r="C185" s="368"/>
      <c r="D185" s="368"/>
      <c r="E185" s="368"/>
      <c r="F185" s="368"/>
      <c r="G185" s="368"/>
      <c r="H185" s="369"/>
      <c r="I185" s="370">
        <v>602.10990000000004</v>
      </c>
      <c r="J185" s="371" t="s">
        <v>190</v>
      </c>
      <c r="K185" s="378"/>
      <c r="L185" s="504"/>
      <c r="M185" s="475"/>
      <c r="N185" s="544"/>
      <c r="O185" s="567"/>
      <c r="R185" s="247"/>
      <c r="S185" s="247"/>
    </row>
    <row r="186" spans="1:19" ht="13.5" thickBot="1">
      <c r="A186" s="163"/>
      <c r="B186" s="320"/>
      <c r="C186" s="321"/>
      <c r="D186" s="321"/>
      <c r="E186" s="321"/>
      <c r="F186" s="321"/>
      <c r="G186" s="321"/>
      <c r="H186" s="322"/>
      <c r="I186" s="323">
        <v>602.20000000000005</v>
      </c>
      <c r="J186" s="324" t="s">
        <v>191</v>
      </c>
      <c r="K186" s="351">
        <f>SUM(K187+K188+K189+K190+K191+K192+K193+K194+K195+K196+K197+K198+K199+K200)</f>
        <v>0</v>
      </c>
      <c r="L186" s="501">
        <f>SUM(L187+L188+L189+L190+L191+L192+L193+L194+L195+L196+L197+L198+L199+L200)</f>
        <v>0</v>
      </c>
      <c r="M186" s="476">
        <f>SUM(M187+M188+M189+M192+M193+M194+M195+M196+M197+M198+M199+M200)</f>
        <v>729686</v>
      </c>
      <c r="N186" s="545"/>
      <c r="O186" s="476"/>
      <c r="R186" s="247"/>
      <c r="S186" s="247"/>
    </row>
    <row r="187" spans="1:19" ht="12" customHeight="1">
      <c r="A187" s="163"/>
      <c r="B187" s="352"/>
      <c r="C187" s="353"/>
      <c r="D187" s="353"/>
      <c r="E187" s="353"/>
      <c r="F187" s="353"/>
      <c r="G187" s="353"/>
      <c r="H187" s="354"/>
      <c r="I187" s="360">
        <v>602.20010000000002</v>
      </c>
      <c r="J187" s="361" t="s">
        <v>192</v>
      </c>
      <c r="K187" s="362"/>
      <c r="L187" s="505"/>
      <c r="M187" s="514">
        <v>167914</v>
      </c>
      <c r="N187" s="546"/>
      <c r="O187" s="568"/>
      <c r="R187" s="247"/>
      <c r="S187" s="247"/>
    </row>
    <row r="188" spans="1:19" ht="12" customHeight="1">
      <c r="A188" s="163"/>
      <c r="B188" s="339"/>
      <c r="C188" s="340"/>
      <c r="D188" s="340"/>
      <c r="E188" s="340"/>
      <c r="F188" s="340"/>
      <c r="G188" s="340"/>
      <c r="H188" s="150"/>
      <c r="I188" s="341">
        <v>602.2002</v>
      </c>
      <c r="J188" s="342" t="s">
        <v>193</v>
      </c>
      <c r="K188" s="344"/>
      <c r="L188" s="499"/>
      <c r="M188" s="474">
        <v>0</v>
      </c>
      <c r="N188" s="543"/>
      <c r="O188" s="567"/>
      <c r="R188" s="247"/>
      <c r="S188" s="247"/>
    </row>
    <row r="189" spans="1:19" ht="12" customHeight="1">
      <c r="A189" s="163"/>
      <c r="B189" s="339"/>
      <c r="C189" s="340"/>
      <c r="D189" s="340"/>
      <c r="E189" s="340"/>
      <c r="F189" s="340"/>
      <c r="G189" s="340"/>
      <c r="H189" s="150"/>
      <c r="I189" s="341">
        <v>602.20029999999997</v>
      </c>
      <c r="J189" s="342" t="s">
        <v>194</v>
      </c>
      <c r="K189" s="344"/>
      <c r="L189" s="499"/>
      <c r="M189" s="478">
        <f>M190+M191</f>
        <v>309986</v>
      </c>
      <c r="N189" s="547"/>
      <c r="O189" s="569"/>
      <c r="R189" s="247"/>
      <c r="S189" s="247"/>
    </row>
    <row r="190" spans="1:19" ht="12" customHeight="1">
      <c r="A190" s="163"/>
      <c r="B190" s="339"/>
      <c r="C190" s="340"/>
      <c r="D190" s="340"/>
      <c r="E190" s="340"/>
      <c r="F190" s="340"/>
      <c r="G190" s="340"/>
      <c r="H190" s="150"/>
      <c r="I190" s="341"/>
      <c r="J190" s="363" t="s">
        <v>195</v>
      </c>
      <c r="K190" s="344"/>
      <c r="L190" s="499"/>
      <c r="M190" s="515">
        <f>122256+121920</f>
        <v>244176</v>
      </c>
      <c r="N190" s="548"/>
      <c r="O190" s="570"/>
      <c r="R190" s="247"/>
      <c r="S190" s="247"/>
    </row>
    <row r="191" spans="1:19" ht="13.5" customHeight="1">
      <c r="A191" s="163"/>
      <c r="B191" s="339"/>
      <c r="C191" s="340"/>
      <c r="D191" s="340"/>
      <c r="E191" s="340"/>
      <c r="F191" s="340"/>
      <c r="G191" s="340"/>
      <c r="H191" s="150"/>
      <c r="I191" s="341"/>
      <c r="J191" s="363" t="s">
        <v>196</v>
      </c>
      <c r="K191" s="344"/>
      <c r="L191" s="499"/>
      <c r="M191" s="479">
        <f>31811+33999</f>
        <v>65810</v>
      </c>
      <c r="N191" s="549"/>
      <c r="O191" s="571"/>
      <c r="R191" s="247"/>
      <c r="S191" s="247"/>
    </row>
    <row r="192" spans="1:19" ht="12" customHeight="1">
      <c r="A192" s="163"/>
      <c r="B192" s="339"/>
      <c r="C192" s="340"/>
      <c r="D192" s="340"/>
      <c r="E192" s="340"/>
      <c r="F192" s="340"/>
      <c r="G192" s="340"/>
      <c r="H192" s="150"/>
      <c r="I192" s="341">
        <v>602.20039999999995</v>
      </c>
      <c r="J192" s="342" t="s">
        <v>197</v>
      </c>
      <c r="K192" s="344"/>
      <c r="L192" s="499"/>
      <c r="M192" s="516">
        <v>82986</v>
      </c>
      <c r="N192" s="550"/>
      <c r="O192" s="572"/>
      <c r="R192" s="247"/>
      <c r="S192" s="247"/>
    </row>
    <row r="193" spans="1:21" ht="12" customHeight="1">
      <c r="A193" s="163"/>
      <c r="B193" s="339"/>
      <c r="C193" s="340"/>
      <c r="D193" s="340"/>
      <c r="E193" s="340"/>
      <c r="F193" s="340"/>
      <c r="G193" s="340"/>
      <c r="H193" s="150"/>
      <c r="I193" s="341">
        <v>602.20050000000003</v>
      </c>
      <c r="J193" s="342" t="s">
        <v>198</v>
      </c>
      <c r="K193" s="344"/>
      <c r="L193" s="499"/>
      <c r="M193" s="474">
        <v>75000</v>
      </c>
      <c r="N193" s="543"/>
      <c r="O193" s="567"/>
      <c r="P193" s="512"/>
      <c r="Q193" s="512"/>
      <c r="R193" s="513"/>
      <c r="S193" s="513"/>
      <c r="T193" s="512"/>
      <c r="U193" s="512"/>
    </row>
    <row r="194" spans="1:21" ht="12" customHeight="1">
      <c r="A194" s="163"/>
      <c r="B194" s="339"/>
      <c r="C194" s="340"/>
      <c r="D194" s="340"/>
      <c r="E194" s="340"/>
      <c r="F194" s="340"/>
      <c r="G194" s="340"/>
      <c r="H194" s="150"/>
      <c r="I194" s="341">
        <v>602.20060000000001</v>
      </c>
      <c r="J194" s="342" t="s">
        <v>199</v>
      </c>
      <c r="K194" s="344"/>
      <c r="L194" s="499"/>
      <c r="M194" s="474"/>
      <c r="N194" s="543"/>
      <c r="O194" s="567"/>
      <c r="R194" s="247"/>
      <c r="S194" s="247"/>
    </row>
    <row r="195" spans="1:21" ht="12" customHeight="1">
      <c r="A195" s="163"/>
      <c r="B195" s="339"/>
      <c r="C195" s="340"/>
      <c r="D195" s="340"/>
      <c r="E195" s="340"/>
      <c r="F195" s="340"/>
      <c r="G195" s="340"/>
      <c r="H195" s="150"/>
      <c r="I195" s="341">
        <v>602.20069999999998</v>
      </c>
      <c r="J195" s="342" t="s">
        <v>200</v>
      </c>
      <c r="K195" s="344"/>
      <c r="L195" s="499"/>
      <c r="M195" s="474">
        <v>200</v>
      </c>
      <c r="N195" s="543"/>
      <c r="O195" s="567"/>
      <c r="P195" s="672">
        <v>1124622</v>
      </c>
      <c r="Q195" s="673" t="s">
        <v>283</v>
      </c>
      <c r="R195" s="247"/>
      <c r="S195" s="247"/>
    </row>
    <row r="196" spans="1:21" ht="12" customHeight="1">
      <c r="A196" s="163"/>
      <c r="B196" s="339"/>
      <c r="C196" s="340"/>
      <c r="D196" s="340"/>
      <c r="E196" s="340"/>
      <c r="F196" s="340"/>
      <c r="G196" s="340"/>
      <c r="H196" s="150"/>
      <c r="I196" s="341">
        <v>602.20079999999996</v>
      </c>
      <c r="J196" s="342" t="s">
        <v>201</v>
      </c>
      <c r="K196" s="344"/>
      <c r="L196" s="499"/>
      <c r="M196" s="474"/>
      <c r="N196" s="543"/>
      <c r="O196" s="567"/>
      <c r="R196" s="247"/>
      <c r="S196" s="247"/>
    </row>
    <row r="197" spans="1:21" ht="12" customHeight="1">
      <c r="A197" s="163"/>
      <c r="B197" s="339"/>
      <c r="C197" s="340"/>
      <c r="D197" s="340"/>
      <c r="E197" s="340"/>
      <c r="F197" s="340"/>
      <c r="G197" s="340"/>
      <c r="H197" s="150"/>
      <c r="I197" s="341">
        <v>602.20090000000005</v>
      </c>
      <c r="J197" s="342" t="s">
        <v>202</v>
      </c>
      <c r="K197" s="344"/>
      <c r="L197" s="499"/>
      <c r="M197" s="474"/>
      <c r="N197" s="543"/>
      <c r="O197" s="567"/>
      <c r="R197" s="247"/>
      <c r="S197" s="247"/>
    </row>
    <row r="198" spans="1:21" ht="12" customHeight="1">
      <c r="A198" s="163"/>
      <c r="B198" s="339"/>
      <c r="C198" s="340"/>
      <c r="D198" s="340"/>
      <c r="E198" s="340"/>
      <c r="F198" s="340"/>
      <c r="G198" s="340"/>
      <c r="H198" s="150"/>
      <c r="I198" s="341">
        <v>602.20100000000002</v>
      </c>
      <c r="J198" s="342" t="s">
        <v>203</v>
      </c>
      <c r="K198" s="344"/>
      <c r="L198" s="499"/>
      <c r="M198" s="474"/>
      <c r="N198" s="543"/>
      <c r="O198" s="567"/>
      <c r="R198" s="247"/>
      <c r="S198" s="247"/>
    </row>
    <row r="199" spans="1:21" ht="12" customHeight="1">
      <c r="A199" s="163"/>
      <c r="B199" s="339"/>
      <c r="C199" s="340"/>
      <c r="D199" s="340"/>
      <c r="E199" s="340"/>
      <c r="F199" s="340"/>
      <c r="G199" s="340"/>
      <c r="H199" s="150"/>
      <c r="I199" s="341">
        <v>602.20110000000102</v>
      </c>
      <c r="J199" s="342" t="s">
        <v>204</v>
      </c>
      <c r="K199" s="344"/>
      <c r="L199" s="499"/>
      <c r="M199" s="474"/>
      <c r="N199" s="543"/>
      <c r="O199" s="567"/>
      <c r="R199" s="247"/>
      <c r="S199" s="247"/>
    </row>
    <row r="200" spans="1:21" ht="12" customHeight="1" thickBot="1">
      <c r="A200" s="163"/>
      <c r="B200" s="345"/>
      <c r="C200" s="346"/>
      <c r="D200" s="346"/>
      <c r="E200" s="346"/>
      <c r="F200" s="346"/>
      <c r="G200" s="346"/>
      <c r="H200" s="164"/>
      <c r="I200" s="347">
        <v>602.20989999999995</v>
      </c>
      <c r="J200" s="348" t="s">
        <v>205</v>
      </c>
      <c r="K200" s="350"/>
      <c r="L200" s="500"/>
      <c r="M200" s="480">
        <v>93600</v>
      </c>
      <c r="N200" s="551"/>
      <c r="O200" s="567"/>
      <c r="P200" s="209">
        <v>44500</v>
      </c>
      <c r="Q200" s="209" t="s">
        <v>283</v>
      </c>
      <c r="R200" s="247"/>
      <c r="S200" s="247"/>
    </row>
    <row r="201" spans="1:21" ht="13.5" thickBot="1">
      <c r="A201" s="163"/>
      <c r="B201" s="320"/>
      <c r="C201" s="321"/>
      <c r="D201" s="321"/>
      <c r="E201" s="321"/>
      <c r="F201" s="321"/>
      <c r="G201" s="321"/>
      <c r="H201" s="322"/>
      <c r="I201" s="323">
        <v>6023</v>
      </c>
      <c r="J201" s="324" t="s">
        <v>206</v>
      </c>
      <c r="K201" s="351">
        <f>SUM(K202+K203+K204+K205)</f>
        <v>0</v>
      </c>
      <c r="L201" s="501">
        <f>SUM(L202+L203+L204+L205)</f>
        <v>0</v>
      </c>
      <c r="M201" s="476">
        <f>SUM(M202+M203+M204+M205)</f>
        <v>265480</v>
      </c>
      <c r="N201" s="545"/>
      <c r="O201" s="476"/>
      <c r="R201" s="247"/>
      <c r="S201" s="247"/>
    </row>
    <row r="202" spans="1:21">
      <c r="A202" s="163"/>
      <c r="B202" s="352"/>
      <c r="C202" s="353"/>
      <c r="D202" s="353"/>
      <c r="E202" s="353"/>
      <c r="F202" s="353"/>
      <c r="G202" s="353"/>
      <c r="H202" s="354"/>
      <c r="I202" s="360">
        <v>602.30999999999995</v>
      </c>
      <c r="J202" s="361" t="s">
        <v>207</v>
      </c>
      <c r="K202" s="362"/>
      <c r="L202" s="505"/>
      <c r="M202" s="477">
        <f>577722-330242</f>
        <v>247480</v>
      </c>
      <c r="N202" s="523"/>
      <c r="O202" s="634">
        <v>330242</v>
      </c>
      <c r="R202" s="247"/>
      <c r="S202" s="247"/>
    </row>
    <row r="203" spans="1:21">
      <c r="A203" s="163"/>
      <c r="B203" s="339"/>
      <c r="C203" s="340"/>
      <c r="D203" s="340"/>
      <c r="E203" s="340"/>
      <c r="F203" s="340"/>
      <c r="G203" s="340"/>
      <c r="H203" s="150"/>
      <c r="I203" s="341">
        <v>602.32000000000005</v>
      </c>
      <c r="J203" s="342" t="s">
        <v>208</v>
      </c>
      <c r="K203" s="344"/>
      <c r="L203" s="499"/>
      <c r="M203" s="474">
        <v>18000</v>
      </c>
      <c r="N203" s="543"/>
      <c r="O203" s="567"/>
      <c r="R203" s="247"/>
      <c r="S203" s="247"/>
    </row>
    <row r="204" spans="1:21">
      <c r="A204" s="163"/>
      <c r="B204" s="339"/>
      <c r="C204" s="340"/>
      <c r="D204" s="340"/>
      <c r="E204" s="340"/>
      <c r="F204" s="340"/>
      <c r="G204" s="340"/>
      <c r="H204" s="150"/>
      <c r="I204" s="341">
        <v>602.33000000000004</v>
      </c>
      <c r="J204" s="342" t="s">
        <v>209</v>
      </c>
      <c r="K204" s="344"/>
      <c r="L204" s="499"/>
      <c r="M204" s="474"/>
      <c r="N204" s="543"/>
      <c r="O204" s="567"/>
      <c r="R204" s="247"/>
      <c r="S204" s="247"/>
    </row>
    <row r="205" spans="1:21" ht="13.5" thickBot="1">
      <c r="A205" s="163"/>
      <c r="B205" s="345"/>
      <c r="C205" s="346"/>
      <c r="D205" s="346"/>
      <c r="E205" s="346"/>
      <c r="F205" s="346"/>
      <c r="G205" s="346"/>
      <c r="H205" s="164"/>
      <c r="I205" s="347">
        <v>602.39</v>
      </c>
      <c r="J205" s="348" t="s">
        <v>210</v>
      </c>
      <c r="K205" s="350"/>
      <c r="L205" s="500"/>
      <c r="M205" s="480"/>
      <c r="N205" s="551"/>
      <c r="O205" s="567"/>
      <c r="R205" s="247"/>
      <c r="S205" s="247"/>
    </row>
    <row r="206" spans="1:21" ht="13.5" thickBot="1">
      <c r="A206" s="163"/>
      <c r="B206" s="320"/>
      <c r="C206" s="321"/>
      <c r="D206" s="321"/>
      <c r="E206" s="321"/>
      <c r="F206" s="321"/>
      <c r="G206" s="321"/>
      <c r="H206" s="322"/>
      <c r="I206" s="323">
        <v>602.4</v>
      </c>
      <c r="J206" s="324" t="s">
        <v>35</v>
      </c>
      <c r="K206" s="351">
        <f>SUM(K207+K208)</f>
        <v>0</v>
      </c>
      <c r="L206" s="501">
        <f>SUM(L207+L208)</f>
        <v>0</v>
      </c>
      <c r="M206" s="476">
        <f>SUM(M207+M208)</f>
        <v>2268556</v>
      </c>
      <c r="N206" s="545"/>
      <c r="O206" s="476"/>
      <c r="R206" s="247"/>
      <c r="S206" s="247"/>
    </row>
    <row r="207" spans="1:21">
      <c r="A207" s="163"/>
      <c r="B207" s="352"/>
      <c r="C207" s="353"/>
      <c r="D207" s="353"/>
      <c r="E207" s="353"/>
      <c r="F207" s="353"/>
      <c r="G207" s="353"/>
      <c r="H207" s="354"/>
      <c r="I207" s="360">
        <v>602.4</v>
      </c>
      <c r="J207" s="361" t="s">
        <v>211</v>
      </c>
      <c r="K207" s="362"/>
      <c r="L207" s="505"/>
      <c r="M207" s="140">
        <v>2199080</v>
      </c>
      <c r="N207" s="140"/>
      <c r="O207" s="573"/>
      <c r="R207" s="247"/>
      <c r="S207" s="247"/>
    </row>
    <row r="208" spans="1:21" ht="13.5" thickBot="1">
      <c r="A208" s="163"/>
      <c r="B208" s="345"/>
      <c r="C208" s="346"/>
      <c r="D208" s="346"/>
      <c r="E208" s="346"/>
      <c r="F208" s="346"/>
      <c r="G208" s="346"/>
      <c r="H208" s="164"/>
      <c r="I208" s="347">
        <v>602.41</v>
      </c>
      <c r="J208" s="348" t="s">
        <v>212</v>
      </c>
      <c r="K208" s="350"/>
      <c r="L208" s="500"/>
      <c r="M208" s="480">
        <v>69476</v>
      </c>
      <c r="N208" s="551"/>
      <c r="O208" s="567"/>
      <c r="R208" s="247"/>
      <c r="S208" s="247"/>
    </row>
    <row r="209" spans="1:19" ht="13.5" thickBot="1">
      <c r="A209" s="163"/>
      <c r="B209" s="320"/>
      <c r="C209" s="321"/>
      <c r="D209" s="321"/>
      <c r="E209" s="321"/>
      <c r="F209" s="321"/>
      <c r="G209" s="321"/>
      <c r="H209" s="322"/>
      <c r="I209" s="323">
        <v>602.5</v>
      </c>
      <c r="J209" s="324" t="s">
        <v>213</v>
      </c>
      <c r="K209" s="351">
        <f>SUM(K210+K211+K212+K213+K214+K215+K216+K217)</f>
        <v>0</v>
      </c>
      <c r="L209" s="501">
        <f>SUM(L210+L211+L212+L213+L214+L215+L216+L217)</f>
        <v>0</v>
      </c>
      <c r="M209" s="472">
        <f>SUM(M210+M211+M212+M213+M214+M215+M216+M217)</f>
        <v>351300</v>
      </c>
      <c r="N209" s="541"/>
      <c r="O209" s="472"/>
      <c r="R209" s="247"/>
      <c r="S209" s="247"/>
    </row>
    <row r="210" spans="1:19">
      <c r="A210" s="163"/>
      <c r="B210" s="352"/>
      <c r="C210" s="353"/>
      <c r="D210" s="353"/>
      <c r="E210" s="353"/>
      <c r="F210" s="353"/>
      <c r="G210" s="353"/>
      <c r="H210" s="354"/>
      <c r="I210" s="360">
        <v>602.5</v>
      </c>
      <c r="J210" s="361" t="s">
        <v>214</v>
      </c>
      <c r="K210" s="364"/>
      <c r="L210" s="506"/>
      <c r="M210" s="481"/>
      <c r="N210" s="552"/>
      <c r="O210" s="566"/>
      <c r="R210" s="247"/>
      <c r="S210" s="247"/>
    </row>
    <row r="211" spans="1:19">
      <c r="A211" s="163"/>
      <c r="B211" s="339"/>
      <c r="C211" s="340"/>
      <c r="D211" s="340"/>
      <c r="E211" s="340"/>
      <c r="F211" s="340"/>
      <c r="G211" s="340"/>
      <c r="H211" s="150"/>
      <c r="I211" s="341">
        <v>602.51</v>
      </c>
      <c r="J211" s="342" t="s">
        <v>215</v>
      </c>
      <c r="K211" s="365"/>
      <c r="L211" s="507"/>
      <c r="M211" s="482"/>
      <c r="N211" s="553"/>
      <c r="O211" s="566"/>
      <c r="R211" s="247"/>
      <c r="S211" s="247"/>
    </row>
    <row r="212" spans="1:19">
      <c r="A212" s="163"/>
      <c r="B212" s="339"/>
      <c r="C212" s="340"/>
      <c r="D212" s="340"/>
      <c r="E212" s="340"/>
      <c r="F212" s="340"/>
      <c r="G212" s="340"/>
      <c r="H212" s="150"/>
      <c r="I212" s="341">
        <v>602.52</v>
      </c>
      <c r="J212" s="342" t="s">
        <v>216</v>
      </c>
      <c r="K212" s="365"/>
      <c r="L212" s="507"/>
      <c r="M212" s="482"/>
      <c r="N212" s="553"/>
      <c r="O212" s="566"/>
      <c r="R212" s="247"/>
      <c r="S212" s="247"/>
    </row>
    <row r="213" spans="1:19" ht="13.5" thickBot="1">
      <c r="A213" s="163"/>
      <c r="B213" s="367"/>
      <c r="C213" s="368"/>
      <c r="D213" s="368"/>
      <c r="E213" s="368"/>
      <c r="F213" s="368"/>
      <c r="G213" s="368"/>
      <c r="H213" s="369"/>
      <c r="I213" s="370">
        <v>602.53</v>
      </c>
      <c r="J213" s="371" t="s">
        <v>217</v>
      </c>
      <c r="K213" s="372"/>
      <c r="L213" s="508"/>
      <c r="M213" s="483"/>
      <c r="N213" s="554"/>
      <c r="O213" s="566"/>
      <c r="R213" s="247"/>
      <c r="S213" s="247"/>
    </row>
    <row r="214" spans="1:19">
      <c r="A214" s="163"/>
      <c r="B214" s="332"/>
      <c r="C214" s="333"/>
      <c r="D214" s="333"/>
      <c r="E214" s="333"/>
      <c r="F214" s="333"/>
      <c r="G214" s="333"/>
      <c r="H214" s="334"/>
      <c r="I214" s="335">
        <v>602.54</v>
      </c>
      <c r="J214" s="336" t="s">
        <v>218</v>
      </c>
      <c r="K214" s="373"/>
      <c r="L214" s="509"/>
      <c r="M214" s="484">
        <v>186800</v>
      </c>
      <c r="N214" s="555"/>
      <c r="O214" s="566"/>
      <c r="R214" s="247"/>
      <c r="S214" s="247"/>
    </row>
    <row r="215" spans="1:19">
      <c r="A215" s="163"/>
      <c r="B215" s="339"/>
      <c r="C215" s="340"/>
      <c r="D215" s="340"/>
      <c r="E215" s="340"/>
      <c r="F215" s="340"/>
      <c r="G215" s="340"/>
      <c r="H215" s="150"/>
      <c r="I215" s="341">
        <v>602.54999999999995</v>
      </c>
      <c r="J215" s="342" t="s">
        <v>219</v>
      </c>
      <c r="K215" s="365"/>
      <c r="L215" s="507"/>
      <c r="M215" s="140">
        <v>84500</v>
      </c>
      <c r="N215" s="140"/>
      <c r="O215" s="573"/>
      <c r="R215" s="247"/>
      <c r="S215" s="247"/>
    </row>
    <row r="216" spans="1:19">
      <c r="A216" s="163"/>
      <c r="B216" s="339"/>
      <c r="C216" s="340"/>
      <c r="D216" s="340"/>
      <c r="E216" s="340"/>
      <c r="F216" s="340"/>
      <c r="G216" s="340"/>
      <c r="H216" s="150"/>
      <c r="I216" s="341">
        <v>602.55999999999995</v>
      </c>
      <c r="J216" s="342" t="s">
        <v>220</v>
      </c>
      <c r="K216" s="365"/>
      <c r="L216" s="507"/>
      <c r="M216" s="482"/>
      <c r="N216" s="553"/>
      <c r="O216" s="566"/>
      <c r="R216" s="247"/>
      <c r="S216" s="247"/>
    </row>
    <row r="217" spans="1:19" ht="13.5" thickBot="1">
      <c r="A217" s="163"/>
      <c r="B217" s="345"/>
      <c r="C217" s="346"/>
      <c r="D217" s="346"/>
      <c r="E217" s="346"/>
      <c r="F217" s="346"/>
      <c r="G217" s="346"/>
      <c r="H217" s="164"/>
      <c r="I217" s="347">
        <v>602.58000000000004</v>
      </c>
      <c r="J217" s="348" t="s">
        <v>221</v>
      </c>
      <c r="K217" s="374"/>
      <c r="L217" s="510"/>
      <c r="M217" s="140">
        <v>80000</v>
      </c>
      <c r="N217" s="140"/>
      <c r="O217" s="573"/>
    </row>
    <row r="218" spans="1:19" ht="13.5" thickBot="1">
      <c r="A218" s="163"/>
      <c r="B218" s="320"/>
      <c r="C218" s="321"/>
      <c r="D218" s="321"/>
      <c r="E218" s="321"/>
      <c r="F218" s="321"/>
      <c r="G218" s="321"/>
      <c r="H218" s="322"/>
      <c r="I218" s="323">
        <v>602.6</v>
      </c>
      <c r="J218" s="324" t="s">
        <v>222</v>
      </c>
      <c r="K218" s="376">
        <f>SUM(K219+K220+K221+K222+K223)</f>
        <v>0</v>
      </c>
      <c r="L218" s="511">
        <f>SUM(L219+L220+L221+L222+L223)</f>
        <v>0</v>
      </c>
      <c r="M218" s="485">
        <f>SUM(M219+M220+M221+M222+M223)</f>
        <v>0</v>
      </c>
      <c r="N218" s="556"/>
      <c r="O218" s="569"/>
    </row>
    <row r="219" spans="1:19">
      <c r="A219" s="163"/>
      <c r="B219" s="352"/>
      <c r="C219" s="353"/>
      <c r="D219" s="353"/>
      <c r="E219" s="353"/>
      <c r="F219" s="353"/>
      <c r="G219" s="353"/>
      <c r="H219" s="354"/>
      <c r="I219" s="360">
        <v>602.61</v>
      </c>
      <c r="J219" s="361" t="s">
        <v>223</v>
      </c>
      <c r="K219" s="364"/>
      <c r="L219" s="506"/>
      <c r="M219" s="481"/>
      <c r="N219" s="552"/>
      <c r="O219" s="566"/>
    </row>
    <row r="220" spans="1:19">
      <c r="A220" s="163"/>
      <c r="B220" s="339"/>
      <c r="C220" s="340"/>
      <c r="D220" s="340"/>
      <c r="E220" s="340"/>
      <c r="F220" s="340"/>
      <c r="G220" s="340"/>
      <c r="H220" s="150"/>
      <c r="I220" s="341">
        <v>602.62</v>
      </c>
      <c r="J220" s="342" t="s">
        <v>224</v>
      </c>
      <c r="K220" s="365"/>
      <c r="L220" s="507"/>
      <c r="M220" s="482"/>
      <c r="N220" s="553"/>
      <c r="O220" s="566"/>
    </row>
    <row r="221" spans="1:19">
      <c r="A221" s="163"/>
      <c r="B221" s="339"/>
      <c r="C221" s="340"/>
      <c r="D221" s="340"/>
      <c r="E221" s="340"/>
      <c r="F221" s="340"/>
      <c r="G221" s="340"/>
      <c r="H221" s="150"/>
      <c r="I221" s="341">
        <v>602.63</v>
      </c>
      <c r="J221" s="342" t="s">
        <v>225</v>
      </c>
      <c r="K221" s="365"/>
      <c r="L221" s="507"/>
      <c r="M221" s="482"/>
      <c r="N221" s="553"/>
      <c r="O221" s="566"/>
    </row>
    <row r="222" spans="1:19">
      <c r="A222" s="163"/>
      <c r="B222" s="339"/>
      <c r="C222" s="340"/>
      <c r="D222" s="340"/>
      <c r="E222" s="340"/>
      <c r="F222" s="340"/>
      <c r="G222" s="340"/>
      <c r="H222" s="150"/>
      <c r="I222" s="341">
        <v>602.64</v>
      </c>
      <c r="J222" s="342" t="s">
        <v>226</v>
      </c>
      <c r="K222" s="365"/>
      <c r="L222" s="507"/>
      <c r="M222" s="482"/>
      <c r="N222" s="553"/>
      <c r="O222" s="566"/>
    </row>
    <row r="223" spans="1:19" ht="13.5" thickBot="1">
      <c r="A223" s="163"/>
      <c r="B223" s="345"/>
      <c r="C223" s="346"/>
      <c r="D223" s="346"/>
      <c r="E223" s="346"/>
      <c r="F223" s="346"/>
      <c r="G223" s="346"/>
      <c r="H223" s="164"/>
      <c r="I223" s="347">
        <v>602.69000000000005</v>
      </c>
      <c r="J223" s="348" t="s">
        <v>227</v>
      </c>
      <c r="K223" s="374"/>
      <c r="L223" s="510"/>
      <c r="M223" s="486"/>
      <c r="N223" s="557"/>
      <c r="O223" s="566"/>
    </row>
    <row r="224" spans="1:19" ht="13.5" thickBot="1">
      <c r="A224" s="163"/>
      <c r="B224" s="320"/>
      <c r="C224" s="321"/>
      <c r="D224" s="321"/>
      <c r="E224" s="321"/>
      <c r="F224" s="321"/>
      <c r="G224" s="321"/>
      <c r="H224" s="322"/>
      <c r="I224" s="377">
        <v>602.70000000000005</v>
      </c>
      <c r="J224" s="324" t="s">
        <v>228</v>
      </c>
      <c r="K224" s="376">
        <f>SUM(K225+K226+K227+K228+K229+K230)</f>
        <v>0</v>
      </c>
      <c r="L224" s="511">
        <f>SUM(L225+L226+L227+L228+L229+L230)</f>
        <v>0</v>
      </c>
      <c r="M224" s="485">
        <f>SUM(M225+M226+M227+M228+M229+M230)</f>
        <v>0</v>
      </c>
      <c r="N224" s="556"/>
      <c r="O224" s="485"/>
    </row>
    <row r="225" spans="1:15">
      <c r="A225" s="163"/>
      <c r="B225" s="352"/>
      <c r="C225" s="353"/>
      <c r="D225" s="353"/>
      <c r="E225" s="353"/>
      <c r="F225" s="353"/>
      <c r="G225" s="353"/>
      <c r="H225" s="354"/>
      <c r="I225" s="360">
        <v>602.71</v>
      </c>
      <c r="J225" s="361" t="s">
        <v>229</v>
      </c>
      <c r="K225" s="364"/>
      <c r="L225" s="506"/>
      <c r="M225" s="481"/>
      <c r="N225" s="552"/>
      <c r="O225" s="566"/>
    </row>
    <row r="226" spans="1:15">
      <c r="A226" s="163"/>
      <c r="B226" s="339"/>
      <c r="C226" s="340"/>
      <c r="D226" s="340"/>
      <c r="E226" s="340"/>
      <c r="F226" s="340"/>
      <c r="G226" s="340"/>
      <c r="H226" s="150"/>
      <c r="I226" s="341">
        <v>602.72</v>
      </c>
      <c r="J226" s="342" t="s">
        <v>230</v>
      </c>
      <c r="K226" s="365"/>
      <c r="L226" s="507"/>
      <c r="M226" s="482"/>
      <c r="N226" s="553"/>
      <c r="O226" s="566"/>
    </row>
    <row r="227" spans="1:15">
      <c r="A227" s="163"/>
      <c r="B227" s="339"/>
      <c r="C227" s="340"/>
      <c r="D227" s="340"/>
      <c r="E227" s="340"/>
      <c r="F227" s="340"/>
      <c r="G227" s="340"/>
      <c r="H227" s="150"/>
      <c r="I227" s="341">
        <v>602.73</v>
      </c>
      <c r="J227" s="342" t="s">
        <v>231</v>
      </c>
      <c r="K227" s="365"/>
      <c r="L227" s="366"/>
      <c r="M227" s="482"/>
      <c r="N227" s="553"/>
      <c r="O227" s="566"/>
    </row>
    <row r="228" spans="1:15">
      <c r="A228" s="163"/>
      <c r="B228" s="339"/>
      <c r="C228" s="340"/>
      <c r="D228" s="340"/>
      <c r="E228" s="340"/>
      <c r="F228" s="340"/>
      <c r="G228" s="340"/>
      <c r="H228" s="150"/>
      <c r="I228" s="341">
        <v>602.74</v>
      </c>
      <c r="J228" s="342" t="s">
        <v>232</v>
      </c>
      <c r="K228" s="365"/>
      <c r="L228" s="366"/>
      <c r="M228" s="482"/>
      <c r="N228" s="553"/>
      <c r="O228" s="566"/>
    </row>
    <row r="229" spans="1:15">
      <c r="A229" s="163"/>
      <c r="B229" s="339"/>
      <c r="C229" s="340"/>
      <c r="D229" s="340"/>
      <c r="E229" s="340"/>
      <c r="F229" s="340"/>
      <c r="G229" s="340"/>
      <c r="H229" s="150"/>
      <c r="I229" s="341">
        <v>602.75</v>
      </c>
      <c r="J229" s="342" t="s">
        <v>233</v>
      </c>
      <c r="K229" s="365"/>
      <c r="L229" s="366"/>
      <c r="M229" s="482"/>
      <c r="N229" s="553"/>
      <c r="O229" s="566"/>
    </row>
    <row r="230" spans="1:15" ht="13.5" thickBot="1">
      <c r="A230" s="163"/>
      <c r="B230" s="345"/>
      <c r="C230" s="346"/>
      <c r="D230" s="346"/>
      <c r="E230" s="346"/>
      <c r="F230" s="346"/>
      <c r="G230" s="346"/>
      <c r="H230" s="164"/>
      <c r="I230" s="347">
        <v>602.79</v>
      </c>
      <c r="J230" s="348" t="s">
        <v>234</v>
      </c>
      <c r="K230" s="374"/>
      <c r="L230" s="375"/>
      <c r="M230" s="486"/>
      <c r="N230" s="557"/>
      <c r="O230" s="566"/>
    </row>
    <row r="231" spans="1:15" ht="13.5" thickBot="1">
      <c r="A231" s="163"/>
      <c r="B231" s="320"/>
      <c r="C231" s="321"/>
      <c r="D231" s="321"/>
      <c r="E231" s="321"/>
      <c r="F231" s="321"/>
      <c r="G231" s="321"/>
      <c r="H231" s="322"/>
      <c r="I231" s="377">
        <v>602.79999999999995</v>
      </c>
      <c r="J231" s="324" t="s">
        <v>235</v>
      </c>
      <c r="K231" s="376">
        <f>SUM(K232+K233)</f>
        <v>0</v>
      </c>
      <c r="L231" s="376">
        <f>SUM(L232+L233)</f>
        <v>0</v>
      </c>
      <c r="M231" s="485">
        <f>SUM(M232+M233)</f>
        <v>0</v>
      </c>
      <c r="N231" s="556"/>
      <c r="O231" s="485"/>
    </row>
    <row r="232" spans="1:15">
      <c r="A232" s="163"/>
      <c r="B232" s="352"/>
      <c r="C232" s="353"/>
      <c r="D232" s="353"/>
      <c r="E232" s="353"/>
      <c r="F232" s="353"/>
      <c r="G232" s="353"/>
      <c r="H232" s="354"/>
      <c r="I232" s="360">
        <v>602.80999999999995</v>
      </c>
      <c r="J232" s="361" t="s">
        <v>236</v>
      </c>
      <c r="K232" s="357"/>
      <c r="L232" s="362"/>
      <c r="M232" s="473"/>
      <c r="N232" s="542"/>
      <c r="O232" s="565"/>
    </row>
    <row r="233" spans="1:15" ht="13.5" thickBot="1">
      <c r="A233" s="163"/>
      <c r="B233" s="345"/>
      <c r="C233" s="346"/>
      <c r="D233" s="346"/>
      <c r="E233" s="346"/>
      <c r="F233" s="346"/>
      <c r="G233" s="346"/>
      <c r="H233" s="164"/>
      <c r="I233" s="347">
        <v>602.82000000000005</v>
      </c>
      <c r="J233" s="348" t="s">
        <v>237</v>
      </c>
      <c r="K233" s="349"/>
      <c r="L233" s="350"/>
      <c r="M233" s="471"/>
      <c r="N233" s="540"/>
      <c r="O233" s="565"/>
    </row>
    <row r="234" spans="1:15" ht="13.5" thickBot="1">
      <c r="A234" s="163"/>
      <c r="B234" s="320"/>
      <c r="C234" s="321"/>
      <c r="D234" s="321"/>
      <c r="E234" s="321"/>
      <c r="F234" s="321"/>
      <c r="G234" s="321"/>
      <c r="H234" s="322"/>
      <c r="I234" s="323">
        <v>602.9</v>
      </c>
      <c r="J234" s="324" t="s">
        <v>39</v>
      </c>
      <c r="K234" s="376">
        <f>SUM(K235+K236+K237+K238+K239+K240+K241+K242+K243)</f>
        <v>0</v>
      </c>
      <c r="L234" s="376">
        <f>SUM(L235+L236+L237+L238+L239+L240+L241+L242+L243)</f>
        <v>0</v>
      </c>
      <c r="M234" s="485">
        <f>SUM(M235+M236+M237+M238+M239+M240+M241+M242+M243)</f>
        <v>470624</v>
      </c>
      <c r="N234" s="556"/>
      <c r="O234" s="485">
        <f>SUM(M234:N234)</f>
        <v>470624</v>
      </c>
    </row>
    <row r="235" spans="1:15" ht="12" customHeight="1">
      <c r="A235" s="163"/>
      <c r="B235" s="332"/>
      <c r="C235" s="333"/>
      <c r="D235" s="333"/>
      <c r="E235" s="333"/>
      <c r="F235" s="333"/>
      <c r="G235" s="333"/>
      <c r="H235" s="334"/>
      <c r="I235" s="335">
        <v>602.90009999999995</v>
      </c>
      <c r="J235" s="336" t="s">
        <v>238</v>
      </c>
      <c r="K235" s="338"/>
      <c r="L235" s="338"/>
      <c r="M235" s="487"/>
      <c r="N235" s="558"/>
      <c r="O235" s="567"/>
    </row>
    <row r="236" spans="1:15" ht="12" customHeight="1">
      <c r="A236" s="163"/>
      <c r="B236" s="339"/>
      <c r="C236" s="340"/>
      <c r="D236" s="340"/>
      <c r="E236" s="340"/>
      <c r="F236" s="340"/>
      <c r="G236" s="340"/>
      <c r="H236" s="150"/>
      <c r="I236" s="341">
        <v>602.90020000000004</v>
      </c>
      <c r="J236" s="342" t="s">
        <v>248</v>
      </c>
      <c r="K236" s="344"/>
      <c r="L236" s="344"/>
      <c r="M236" s="474"/>
      <c r="N236" s="543"/>
      <c r="O236" s="567"/>
    </row>
    <row r="237" spans="1:15" ht="12" customHeight="1">
      <c r="A237" s="163"/>
      <c r="B237" s="339"/>
      <c r="C237" s="340"/>
      <c r="D237" s="340"/>
      <c r="E237" s="340"/>
      <c r="F237" s="340"/>
      <c r="G237" s="340"/>
      <c r="H237" s="150"/>
      <c r="I237" s="341">
        <v>602.90030000000002</v>
      </c>
      <c r="J237" s="342" t="s">
        <v>239</v>
      </c>
      <c r="K237" s="344"/>
      <c r="L237" s="344"/>
      <c r="M237" s="474"/>
      <c r="N237" s="543"/>
      <c r="O237" s="567"/>
    </row>
    <row r="238" spans="1:15" ht="12" customHeight="1">
      <c r="A238" s="163"/>
      <c r="B238" s="339"/>
      <c r="C238" s="340"/>
      <c r="D238" s="340"/>
      <c r="E238" s="340"/>
      <c r="F238" s="340"/>
      <c r="G238" s="340"/>
      <c r="H238" s="150"/>
      <c r="I238" s="341">
        <v>602.90039999999999</v>
      </c>
      <c r="J238" s="342" t="s">
        <v>240</v>
      </c>
      <c r="K238" s="344"/>
      <c r="L238" s="344"/>
      <c r="M238" s="474"/>
      <c r="N238" s="543"/>
      <c r="O238" s="567"/>
    </row>
    <row r="239" spans="1:15" ht="12" customHeight="1">
      <c r="A239" s="163"/>
      <c r="B239" s="339"/>
      <c r="C239" s="340"/>
      <c r="D239" s="340"/>
      <c r="E239" s="340"/>
      <c r="F239" s="340"/>
      <c r="G239" s="340"/>
      <c r="H239" s="150"/>
      <c r="I239" s="341">
        <v>602.90049999999997</v>
      </c>
      <c r="J239" s="342" t="s">
        <v>241</v>
      </c>
      <c r="K239" s="344"/>
      <c r="L239" s="344"/>
      <c r="M239" s="474">
        <v>470624</v>
      </c>
      <c r="N239" s="543"/>
      <c r="O239" s="567"/>
    </row>
    <row r="240" spans="1:15" ht="12" customHeight="1">
      <c r="A240" s="163"/>
      <c r="B240" s="339"/>
      <c r="C240" s="340"/>
      <c r="D240" s="340"/>
      <c r="E240" s="340"/>
      <c r="F240" s="340"/>
      <c r="G240" s="340"/>
      <c r="H240" s="150"/>
      <c r="I240" s="341">
        <v>602.90060000000005</v>
      </c>
      <c r="J240" s="342" t="s">
        <v>242</v>
      </c>
      <c r="K240" s="344"/>
      <c r="L240" s="344"/>
      <c r="M240" s="474"/>
      <c r="N240" s="543"/>
      <c r="O240" s="567"/>
    </row>
    <row r="241" spans="1:15" ht="12" customHeight="1">
      <c r="A241" s="163"/>
      <c r="B241" s="339"/>
      <c r="C241" s="340"/>
      <c r="D241" s="340"/>
      <c r="E241" s="340"/>
      <c r="F241" s="340"/>
      <c r="G241" s="340"/>
      <c r="H241" s="150"/>
      <c r="I241" s="341">
        <v>602.90070000000003</v>
      </c>
      <c r="J241" s="342" t="s">
        <v>243</v>
      </c>
      <c r="K241" s="343"/>
      <c r="L241" s="344"/>
      <c r="M241" s="470"/>
      <c r="N241" s="539"/>
      <c r="O241" s="565"/>
    </row>
    <row r="242" spans="1:15" ht="12" customHeight="1">
      <c r="A242" s="163"/>
      <c r="B242" s="339"/>
      <c r="C242" s="340"/>
      <c r="D242" s="340"/>
      <c r="E242" s="340"/>
      <c r="F242" s="340"/>
      <c r="G242" s="340"/>
      <c r="H242" s="150"/>
      <c r="I242" s="341">
        <v>602.90080000000103</v>
      </c>
      <c r="J242" s="342" t="s">
        <v>244</v>
      </c>
      <c r="K242" s="344"/>
      <c r="L242" s="344"/>
      <c r="M242" s="474"/>
      <c r="N242" s="543"/>
      <c r="O242" s="567"/>
    </row>
    <row r="243" spans="1:15" ht="12" customHeight="1" thickBot="1">
      <c r="A243" s="163"/>
      <c r="B243" s="345"/>
      <c r="C243" s="346"/>
      <c r="D243" s="346"/>
      <c r="E243" s="346"/>
      <c r="F243" s="346"/>
      <c r="G243" s="346"/>
      <c r="H243" s="164"/>
      <c r="I243" s="347">
        <v>602.900900000001</v>
      </c>
      <c r="J243" s="348" t="s">
        <v>245</v>
      </c>
      <c r="K243" s="350"/>
      <c r="L243" s="350"/>
      <c r="M243" s="480"/>
      <c r="N243" s="551"/>
      <c r="O243" s="567"/>
    </row>
    <row r="244" spans="1:15" ht="15.75" thickBot="1">
      <c r="A244" s="163"/>
      <c r="B244" s="385"/>
      <c r="C244" s="386"/>
      <c r="D244" s="386"/>
      <c r="E244" s="386">
        <v>6</v>
      </c>
      <c r="F244" s="386"/>
      <c r="G244" s="387">
        <v>10430</v>
      </c>
      <c r="H244" s="389">
        <v>230</v>
      </c>
      <c r="I244" s="390"/>
      <c r="J244" s="391" t="s">
        <v>249</v>
      </c>
      <c r="K244" s="388"/>
      <c r="L244" s="388"/>
      <c r="M244" s="388"/>
      <c r="N244" s="559"/>
      <c r="O244" s="388"/>
    </row>
    <row r="245" spans="1:15" ht="18.75" customHeight="1">
      <c r="A245" s="163"/>
      <c r="B245" s="224"/>
      <c r="C245" s="163" t="s">
        <v>289</v>
      </c>
      <c r="D245" s="163"/>
      <c r="E245" s="163"/>
      <c r="F245" s="163"/>
      <c r="G245" s="163"/>
      <c r="H245" s="163"/>
      <c r="I245" s="163"/>
      <c r="J245" s="379"/>
      <c r="K245" s="380"/>
      <c r="L245" s="380"/>
      <c r="M245" s="488"/>
      <c r="N245" s="488"/>
      <c r="O245" s="488"/>
    </row>
    <row r="246" spans="1:15" ht="6.75" customHeight="1">
      <c r="A246" s="163"/>
      <c r="B246" s="224"/>
      <c r="C246" s="163"/>
      <c r="D246" s="163"/>
      <c r="E246" s="163"/>
      <c r="F246" s="163"/>
      <c r="G246" s="163"/>
      <c r="H246" s="163"/>
      <c r="I246" s="163"/>
      <c r="J246" s="5"/>
      <c r="K246" s="381"/>
      <c r="L246" s="381"/>
      <c r="M246" s="489"/>
      <c r="N246" s="489"/>
      <c r="O246" s="489"/>
    </row>
    <row r="247" spans="1:15" ht="15">
      <c r="A247" s="163"/>
      <c r="B247" s="224"/>
      <c r="C247" s="163" t="s">
        <v>246</v>
      </c>
      <c r="D247" s="163"/>
      <c r="E247" s="163"/>
      <c r="F247" s="163"/>
      <c r="G247" s="163"/>
      <c r="H247" s="163"/>
      <c r="I247" s="163"/>
      <c r="J247" s="379"/>
      <c r="K247" s="382"/>
      <c r="L247" s="382"/>
      <c r="M247" s="490"/>
      <c r="N247" s="490"/>
      <c r="O247" s="490"/>
    </row>
    <row r="248" spans="1:15" ht="15">
      <c r="A248" s="163"/>
      <c r="B248" s="224"/>
      <c r="C248" s="163"/>
      <c r="D248" s="383" t="s">
        <v>247</v>
      </c>
      <c r="E248" s="383"/>
      <c r="F248" s="383"/>
      <c r="G248" s="383"/>
      <c r="H248" s="163"/>
      <c r="J248" s="383"/>
      <c r="K248" s="384" t="s">
        <v>290</v>
      </c>
      <c r="L248" s="380"/>
      <c r="M248" s="488"/>
      <c r="N248" s="488"/>
      <c r="O248" s="488"/>
    </row>
    <row r="249" spans="1:15">
      <c r="A249" s="163"/>
      <c r="B249" s="224"/>
      <c r="C249" s="163"/>
      <c r="D249" s="71" t="s">
        <v>130</v>
      </c>
      <c r="E249" s="383"/>
      <c r="F249" s="383"/>
      <c r="G249" s="383"/>
      <c r="H249" s="383"/>
      <c r="I249" s="383"/>
      <c r="J249" s="383"/>
      <c r="K249" s="398" t="s">
        <v>250</v>
      </c>
      <c r="L249" s="398"/>
      <c r="M249" s="489"/>
      <c r="N249" s="489"/>
      <c r="O249" s="489"/>
    </row>
    <row r="250" spans="1:15">
      <c r="A250" s="163"/>
      <c r="B250" s="224"/>
      <c r="C250" s="163"/>
      <c r="D250" s="71"/>
      <c r="E250" s="383"/>
      <c r="F250" s="383"/>
      <c r="G250" s="383"/>
      <c r="H250" s="383"/>
      <c r="I250" s="383"/>
      <c r="J250" s="383"/>
      <c r="K250" s="398"/>
      <c r="L250" s="398"/>
      <c r="M250" s="489"/>
      <c r="N250" s="489"/>
      <c r="O250" s="489"/>
    </row>
    <row r="251" spans="1:15">
      <c r="B251" s="224"/>
      <c r="C251" s="127" t="s">
        <v>251</v>
      </c>
      <c r="D251" s="127"/>
      <c r="E251" s="127"/>
      <c r="F251" s="127"/>
      <c r="G251" s="127"/>
      <c r="H251" s="127"/>
      <c r="I251" s="127"/>
      <c r="J251" s="127"/>
      <c r="K251" s="399"/>
      <c r="L251" s="400"/>
      <c r="M251" s="674"/>
      <c r="N251" s="674"/>
      <c r="O251" s="675"/>
    </row>
    <row r="253" spans="1:15">
      <c r="A253" s="163"/>
      <c r="B253" s="163"/>
      <c r="C253" s="210"/>
      <c r="D253" s="210"/>
      <c r="E253" s="210"/>
      <c r="F253" s="210"/>
      <c r="G253" s="210"/>
      <c r="H253" s="211"/>
      <c r="I253" s="211"/>
      <c r="J253" s="211"/>
      <c r="K253" s="211"/>
      <c r="L253" s="211"/>
      <c r="M253" s="212"/>
      <c r="N253" s="212"/>
      <c r="O253" s="212"/>
    </row>
    <row r="254" spans="1:15" ht="15.75" customHeight="1">
      <c r="A254" s="163"/>
      <c r="B254" s="163"/>
      <c r="C254" s="210"/>
      <c r="D254" s="210"/>
      <c r="E254" s="210"/>
      <c r="F254" s="210"/>
      <c r="G254" s="210"/>
      <c r="H254" s="210"/>
      <c r="I254" s="213"/>
      <c r="J254" s="681"/>
      <c r="K254" s="215"/>
      <c r="L254" s="163"/>
      <c r="M254" s="210"/>
      <c r="N254" s="210"/>
      <c r="O254" s="210"/>
    </row>
    <row r="255" spans="1:15" s="220" customFormat="1" ht="13.5" customHeight="1">
      <c r="A255" s="394"/>
      <c r="B255" s="216"/>
      <c r="C255" s="217"/>
      <c r="D255" s="217"/>
      <c r="E255" s="218"/>
      <c r="F255" s="218"/>
      <c r="G255" s="218"/>
      <c r="H255" s="218"/>
      <c r="I255" s="218"/>
      <c r="J255" s="218"/>
      <c r="K255" s="217"/>
      <c r="L255" s="219"/>
      <c r="M255" s="452"/>
      <c r="N255" s="452"/>
      <c r="O255" s="452"/>
    </row>
    <row r="256" spans="1:15" s="223" customFormat="1" ht="15">
      <c r="A256" s="395"/>
      <c r="B256" s="221"/>
      <c r="C256" s="218" t="s">
        <v>133</v>
      </c>
      <c r="D256" s="218"/>
      <c r="E256" s="218"/>
      <c r="F256" s="218"/>
      <c r="G256" s="218"/>
      <c r="H256" s="218"/>
      <c r="I256" s="218"/>
      <c r="J256" s="218"/>
      <c r="K256" s="218"/>
      <c r="L256" s="222"/>
      <c r="M256" s="453"/>
      <c r="N256" s="453"/>
      <c r="O256" s="453"/>
    </row>
    <row r="257" spans="1:20" s="223" customFormat="1" ht="15">
      <c r="A257" s="395"/>
      <c r="B257" s="221"/>
      <c r="C257" s="218" t="s">
        <v>134</v>
      </c>
      <c r="D257" s="218"/>
      <c r="E257" s="218"/>
      <c r="F257" s="218"/>
      <c r="G257" s="218"/>
      <c r="H257" s="218"/>
      <c r="I257" s="218"/>
      <c r="J257" s="218"/>
      <c r="K257" s="218"/>
      <c r="L257" s="222"/>
      <c r="M257" s="453"/>
      <c r="N257" s="453"/>
      <c r="O257" s="453"/>
    </row>
    <row r="258" spans="1:20" ht="13.5" customHeight="1">
      <c r="A258" s="163"/>
      <c r="B258" s="224"/>
      <c r="C258" s="224"/>
      <c r="D258" s="224"/>
      <c r="E258" s="224"/>
      <c r="F258" s="224"/>
      <c r="G258" s="224"/>
      <c r="H258" s="224"/>
      <c r="I258" s="225"/>
      <c r="J258" s="392" t="s">
        <v>27</v>
      </c>
      <c r="K258" s="224"/>
      <c r="L258" s="224"/>
      <c r="M258" s="454"/>
      <c r="N258" s="454"/>
      <c r="O258" s="454"/>
    </row>
    <row r="259" spans="1:20" ht="15" customHeight="1">
      <c r="A259" s="163"/>
      <c r="B259" s="163"/>
      <c r="C259" s="163"/>
      <c r="D259" s="163"/>
      <c r="E259" s="226"/>
      <c r="F259" s="226"/>
      <c r="G259" s="226"/>
      <c r="H259" s="214"/>
      <c r="I259" s="227"/>
      <c r="J259" s="228"/>
      <c r="K259" s="229"/>
      <c r="L259" s="230"/>
      <c r="M259" s="455"/>
      <c r="N259" s="455"/>
      <c r="O259" s="455"/>
    </row>
    <row r="260" spans="1:20" ht="15" customHeight="1">
      <c r="A260" s="163"/>
      <c r="B260" s="163"/>
      <c r="C260" s="231"/>
      <c r="D260" s="226" t="s">
        <v>135</v>
      </c>
      <c r="E260" s="5"/>
      <c r="F260" s="163"/>
      <c r="G260" s="226"/>
      <c r="H260" s="214"/>
      <c r="I260" s="231"/>
      <c r="J260" s="232"/>
      <c r="K260" s="229" t="s">
        <v>136</v>
      </c>
      <c r="L260" s="230"/>
      <c r="M260" s="455"/>
      <c r="N260" s="455"/>
      <c r="O260" s="455"/>
    </row>
    <row r="261" spans="1:20" ht="13.5" customHeight="1">
      <c r="A261" s="163"/>
      <c r="B261" s="163"/>
      <c r="C261" s="231"/>
      <c r="D261" s="226"/>
      <c r="E261" s="163"/>
      <c r="F261" s="163"/>
      <c r="G261" s="226"/>
      <c r="H261" s="214"/>
      <c r="I261" s="231"/>
      <c r="J261" s="232"/>
      <c r="K261" s="229"/>
      <c r="L261" s="230"/>
      <c r="M261" s="455"/>
      <c r="N261" s="455"/>
      <c r="O261" s="455"/>
    </row>
    <row r="262" spans="1:20" ht="26.25" customHeight="1">
      <c r="A262" s="163"/>
      <c r="B262" s="233"/>
      <c r="C262" s="233"/>
      <c r="D262" s="237"/>
      <c r="E262" s="233"/>
      <c r="F262" s="233"/>
      <c r="G262" s="234"/>
      <c r="H262" s="235"/>
      <c r="I262" s="233"/>
      <c r="J262" s="236" t="s">
        <v>252</v>
      </c>
      <c r="K262" s="238"/>
      <c r="L262" s="238"/>
      <c r="M262" s="456"/>
      <c r="N262" s="456"/>
      <c r="O262" s="456"/>
    </row>
    <row r="263" spans="1:20" ht="22.5" customHeight="1" thickBot="1">
      <c r="A263" s="163"/>
      <c r="B263" s="239"/>
      <c r="C263" s="233"/>
      <c r="D263" s="233"/>
      <c r="E263" s="235"/>
      <c r="F263" s="235"/>
      <c r="G263" s="235"/>
      <c r="H263" s="235"/>
      <c r="I263" s="235"/>
      <c r="J263" s="393" t="s">
        <v>291</v>
      </c>
      <c r="K263" s="240"/>
      <c r="L263" s="451">
        <v>2012</v>
      </c>
      <c r="M263" s="457"/>
      <c r="N263" s="457"/>
      <c r="O263" s="457"/>
    </row>
    <row r="264" spans="1:20" s="247" customFormat="1" ht="60" customHeight="1" thickBot="1">
      <c r="A264" s="396"/>
      <c r="B264" s="241" t="s">
        <v>137</v>
      </c>
      <c r="C264" s="242" t="s">
        <v>138</v>
      </c>
      <c r="D264" s="241" t="s">
        <v>139</v>
      </c>
      <c r="E264" s="241" t="s">
        <v>140</v>
      </c>
      <c r="F264" s="241" t="s">
        <v>141</v>
      </c>
      <c r="G264" s="241" t="s">
        <v>142</v>
      </c>
      <c r="H264" s="243" t="s">
        <v>126</v>
      </c>
      <c r="I264" s="241" t="s">
        <v>143</v>
      </c>
      <c r="J264" s="244" t="s">
        <v>144</v>
      </c>
      <c r="K264" s="245" t="s">
        <v>145</v>
      </c>
      <c r="L264" s="246" t="s">
        <v>146</v>
      </c>
      <c r="M264" s="458" t="s">
        <v>292</v>
      </c>
      <c r="N264" s="458" t="s">
        <v>293</v>
      </c>
      <c r="O264" s="560"/>
    </row>
    <row r="265" spans="1:20" s="247" customFormat="1" ht="15" customHeight="1" thickBot="1">
      <c r="A265" s="396"/>
      <c r="B265" s="248" t="s">
        <v>148</v>
      </c>
      <c r="C265" s="249">
        <v>25</v>
      </c>
      <c r="D265" s="517" t="s">
        <v>267</v>
      </c>
      <c r="E265" s="250">
        <v>1</v>
      </c>
      <c r="F265" s="250">
        <v>1111</v>
      </c>
      <c r="G265" s="250">
        <v>10430</v>
      </c>
      <c r="H265" s="251"/>
      <c r="I265" s="252"/>
      <c r="J265" s="253" t="s">
        <v>149</v>
      </c>
      <c r="K265" s="254">
        <f>SUM(K266+K267+K268+K269)</f>
        <v>0</v>
      </c>
      <c r="L265" s="254">
        <f>SUM(L266+L267+L268+L269)</f>
        <v>0</v>
      </c>
      <c r="M265" s="459">
        <f>SUM(M266+M267+M268+M269)</f>
        <v>0</v>
      </c>
      <c r="N265" s="525"/>
      <c r="O265" s="459"/>
    </row>
    <row r="266" spans="1:20" s="247" customFormat="1" ht="15" customHeight="1">
      <c r="A266" s="396"/>
      <c r="B266" s="255"/>
      <c r="C266" s="256"/>
      <c r="D266" s="256"/>
      <c r="E266" s="256">
        <v>1</v>
      </c>
      <c r="F266" s="256"/>
      <c r="G266" s="256"/>
      <c r="H266" s="257"/>
      <c r="I266" s="258"/>
      <c r="J266" s="259" t="s">
        <v>150</v>
      </c>
      <c r="K266" s="260"/>
      <c r="L266" s="261"/>
      <c r="M266" s="460"/>
      <c r="N266" s="526"/>
      <c r="O266" s="676"/>
      <c r="P266" s="197">
        <v>42579</v>
      </c>
      <c r="Q266" s="197">
        <v>14387</v>
      </c>
    </row>
    <row r="267" spans="1:20" s="247" customFormat="1" ht="15" customHeight="1">
      <c r="A267" s="396"/>
      <c r="B267" s="262"/>
      <c r="C267" s="263"/>
      <c r="D267" s="263"/>
      <c r="E267" s="263">
        <v>5</v>
      </c>
      <c r="F267" s="263"/>
      <c r="G267" s="263"/>
      <c r="H267" s="264"/>
      <c r="I267" s="265"/>
      <c r="J267" s="266" t="s">
        <v>151</v>
      </c>
      <c r="K267" s="267"/>
      <c r="L267" s="268"/>
      <c r="M267" s="461"/>
      <c r="N267" s="527"/>
      <c r="O267" s="676"/>
      <c r="P267" s="197">
        <v>8170</v>
      </c>
      <c r="Q267" s="197">
        <v>1361.6666666666667</v>
      </c>
    </row>
    <row r="268" spans="1:20" s="247" customFormat="1" ht="15" customHeight="1">
      <c r="A268" s="396"/>
      <c r="B268" s="262"/>
      <c r="C268" s="263"/>
      <c r="D268" s="263"/>
      <c r="E268" s="263">
        <v>5</v>
      </c>
      <c r="F268" s="263"/>
      <c r="G268" s="263"/>
      <c r="H268" s="264"/>
      <c r="I268" s="265"/>
      <c r="J268" s="266" t="s">
        <v>254</v>
      </c>
      <c r="K268" s="267"/>
      <c r="L268" s="268"/>
      <c r="M268" s="461"/>
      <c r="N268" s="527"/>
      <c r="O268" s="676"/>
      <c r="P268" s="197">
        <v>50749</v>
      </c>
      <c r="Q268" s="197">
        <v>15748.666666666668</v>
      </c>
    </row>
    <row r="269" spans="1:20" s="247" customFormat="1" ht="15" customHeight="1" thickBot="1">
      <c r="A269" s="396"/>
      <c r="B269" s="269"/>
      <c r="C269" s="270"/>
      <c r="D269" s="270"/>
      <c r="E269" s="270">
        <v>6</v>
      </c>
      <c r="F269" s="270"/>
      <c r="G269" s="270"/>
      <c r="H269" s="271"/>
      <c r="I269" s="272"/>
      <c r="J269" s="273" t="s">
        <v>152</v>
      </c>
      <c r="K269" s="274"/>
      <c r="L269" s="275"/>
      <c r="M269" s="462"/>
      <c r="N269" s="528"/>
      <c r="O269" s="676"/>
      <c r="P269" s="678">
        <v>17700</v>
      </c>
      <c r="Q269" s="197">
        <v>6700</v>
      </c>
    </row>
    <row r="270" spans="1:20" s="247" customFormat="1" ht="18" customHeight="1" thickBot="1">
      <c r="A270" s="396"/>
      <c r="B270" s="276"/>
      <c r="C270" s="277"/>
      <c r="D270" s="277"/>
      <c r="E270" s="277"/>
      <c r="F270" s="277"/>
      <c r="G270" s="277"/>
      <c r="H270" s="277"/>
      <c r="I270" s="278"/>
      <c r="J270" s="279" t="s">
        <v>153</v>
      </c>
      <c r="K270" s="574">
        <f>SUM(K271+K286+K289+K368)</f>
        <v>68449</v>
      </c>
      <c r="L270" s="574">
        <f>SUM(L271+L286+L289+L368)</f>
        <v>22449</v>
      </c>
      <c r="M270" s="574">
        <f>SUM(M271+M286+M289+M368)</f>
        <v>14443339</v>
      </c>
      <c r="N270" s="574">
        <f>SUM(N271+N286+N289+N368)</f>
        <v>14433339</v>
      </c>
      <c r="O270" s="677"/>
      <c r="P270" s="679">
        <v>68449</v>
      </c>
      <c r="Q270" s="680">
        <v>22448.666666666668</v>
      </c>
    </row>
    <row r="271" spans="1:20" s="209" customFormat="1" ht="13.5" thickBot="1">
      <c r="A271" s="383"/>
      <c r="B271" s="280"/>
      <c r="C271" s="281"/>
      <c r="D271" s="281"/>
      <c r="E271" s="281"/>
      <c r="F271" s="281"/>
      <c r="G271" s="281"/>
      <c r="H271" s="282">
        <v>600</v>
      </c>
      <c r="I271" s="283"/>
      <c r="J271" s="284" t="s">
        <v>154</v>
      </c>
      <c r="K271" s="285">
        <f>SUM(K272+K273+K274+K275+K276+K277+K278+K279+K280+K281+K282+K283+K284+K285)</f>
        <v>42579</v>
      </c>
      <c r="L271" s="491">
        <f>SUM(L272+L273+L274+L275+L276+L277+L278+L279+L280+L281+L282+L283+L284+L285)</f>
        <v>14387</v>
      </c>
      <c r="M271" s="285">
        <f>M272+M282+M285</f>
        <v>6700542</v>
      </c>
      <c r="N271" s="285">
        <f>N272+N282+N285</f>
        <v>6700542</v>
      </c>
      <c r="O271" s="285">
        <f>O272+O282+O285</f>
        <v>0</v>
      </c>
      <c r="P271" s="247"/>
      <c r="Q271" s="247"/>
      <c r="R271" s="247"/>
      <c r="S271" s="247"/>
      <c r="T271" s="286">
        <f>Q271-S271</f>
        <v>0</v>
      </c>
    </row>
    <row r="272" spans="1:20" s="247" customFormat="1">
      <c r="A272" s="396"/>
      <c r="B272" s="287"/>
      <c r="C272" s="288"/>
      <c r="D272" s="288"/>
      <c r="E272" s="288"/>
      <c r="F272" s="288"/>
      <c r="G272" s="288"/>
      <c r="H272" s="289"/>
      <c r="I272" s="290">
        <v>600.1</v>
      </c>
      <c r="J272" s="291" t="s">
        <v>155</v>
      </c>
      <c r="K272" s="522">
        <v>42579</v>
      </c>
      <c r="L272" s="477">
        <v>14387</v>
      </c>
      <c r="M272" s="463">
        <f>SUM(M273:M277)</f>
        <v>6700542</v>
      </c>
      <c r="N272" s="463">
        <f>SUM(N273:N277)</f>
        <v>6700542</v>
      </c>
      <c r="O272" s="562"/>
      <c r="P272" s="298"/>
    </row>
    <row r="273" spans="1:22" s="247" customFormat="1">
      <c r="A273" s="396"/>
      <c r="B273" s="292"/>
      <c r="C273" s="293"/>
      <c r="D273" s="293"/>
      <c r="E273" s="293"/>
      <c r="F273" s="293"/>
      <c r="G273" s="293"/>
      <c r="H273" s="294"/>
      <c r="I273" s="295">
        <v>600.1001</v>
      </c>
      <c r="J273" s="296" t="s">
        <v>156</v>
      </c>
      <c r="K273" s="297"/>
      <c r="L273" s="492"/>
      <c r="M273" s="464">
        <f>666929+192020+672810</f>
        <v>1531759</v>
      </c>
      <c r="N273" s="464">
        <f>666929+192020+672810</f>
        <v>1531759</v>
      </c>
      <c r="O273" s="562"/>
      <c r="P273" s="298"/>
    </row>
    <row r="274" spans="1:22" s="247" customFormat="1">
      <c r="A274" s="396"/>
      <c r="B274" s="292"/>
      <c r="C274" s="293"/>
      <c r="D274" s="293"/>
      <c r="E274" s="293"/>
      <c r="F274" s="293"/>
      <c r="G274" s="293"/>
      <c r="H274" s="294"/>
      <c r="I274" s="295">
        <v>600.10019999999997</v>
      </c>
      <c r="J274" s="296" t="s">
        <v>157</v>
      </c>
      <c r="K274" s="297"/>
      <c r="L274" s="492"/>
      <c r="M274" s="464">
        <v>25320</v>
      </c>
      <c r="N274" s="464">
        <v>25320</v>
      </c>
      <c r="O274" s="562"/>
      <c r="P274" s="298"/>
    </row>
    <row r="275" spans="1:22" s="247" customFormat="1">
      <c r="A275" s="396"/>
      <c r="B275" s="292"/>
      <c r="C275" s="293"/>
      <c r="D275" s="293"/>
      <c r="E275" s="293"/>
      <c r="F275" s="293"/>
      <c r="G275" s="293"/>
      <c r="H275" s="294"/>
      <c r="I275" s="295">
        <v>600.10029999999995</v>
      </c>
      <c r="J275" s="296" t="s">
        <v>158</v>
      </c>
      <c r="K275" s="297"/>
      <c r="L275" s="492"/>
      <c r="M275" s="464">
        <f>181456+181941</f>
        <v>363397</v>
      </c>
      <c r="N275" s="464">
        <f>181456+181941</f>
        <v>363397</v>
      </c>
      <c r="O275" s="562"/>
      <c r="P275" s="298"/>
    </row>
    <row r="276" spans="1:22" s="247" customFormat="1">
      <c r="A276" s="396"/>
      <c r="B276" s="292"/>
      <c r="C276" s="293"/>
      <c r="D276" s="293"/>
      <c r="E276" s="293"/>
      <c r="F276" s="293"/>
      <c r="G276" s="293"/>
      <c r="H276" s="294"/>
      <c r="I276" s="295">
        <v>600.10050000000001</v>
      </c>
      <c r="J276" s="296" t="s">
        <v>159</v>
      </c>
      <c r="K276" s="297"/>
      <c r="L276" s="492"/>
      <c r="M276" s="464">
        <f>2444319+2203845</f>
        <v>4648164</v>
      </c>
      <c r="N276" s="464">
        <f>2444319+2203845</f>
        <v>4648164</v>
      </c>
      <c r="O276" s="562"/>
      <c r="P276" s="298"/>
    </row>
    <row r="277" spans="1:22" s="247" customFormat="1">
      <c r="A277" s="396"/>
      <c r="B277" s="292"/>
      <c r="C277" s="293"/>
      <c r="D277" s="293"/>
      <c r="E277" s="293"/>
      <c r="F277" s="293"/>
      <c r="G277" s="293"/>
      <c r="H277" s="294"/>
      <c r="I277" s="295"/>
      <c r="J277" s="296" t="s">
        <v>160</v>
      </c>
      <c r="K277" s="297"/>
      <c r="L277" s="492"/>
      <c r="M277" s="464">
        <f>12925+78398+12925+27654</f>
        <v>131902</v>
      </c>
      <c r="N277" s="464">
        <f>12925+78398+12925+27654</f>
        <v>131902</v>
      </c>
      <c r="O277" s="562"/>
    </row>
    <row r="278" spans="1:22" s="247" customFormat="1">
      <c r="A278" s="396"/>
      <c r="B278" s="299"/>
      <c r="C278" s="293"/>
      <c r="D278" s="293"/>
      <c r="E278" s="293"/>
      <c r="F278" s="293"/>
      <c r="G278" s="293"/>
      <c r="H278" s="294"/>
      <c r="I278" s="295">
        <v>600.20000000000005</v>
      </c>
      <c r="J278" s="296" t="s">
        <v>161</v>
      </c>
      <c r="K278" s="297"/>
      <c r="L278" s="492"/>
      <c r="M278" s="464"/>
      <c r="N278" s="531"/>
      <c r="O278" s="562"/>
    </row>
    <row r="279" spans="1:22" s="247" customFormat="1">
      <c r="A279" s="396"/>
      <c r="B279" s="299"/>
      <c r="C279" s="293"/>
      <c r="D279" s="293"/>
      <c r="E279" s="293"/>
      <c r="F279" s="293"/>
      <c r="G279" s="293"/>
      <c r="H279" s="294"/>
      <c r="I279" s="295">
        <v>600.21</v>
      </c>
      <c r="J279" s="296" t="s">
        <v>162</v>
      </c>
      <c r="K279" s="297"/>
      <c r="L279" s="492"/>
      <c r="M279" s="464"/>
      <c r="N279" s="531"/>
      <c r="O279" s="562"/>
      <c r="P279" s="298"/>
      <c r="T279" s="209"/>
      <c r="U279" s="209"/>
      <c r="V279" s="209"/>
    </row>
    <row r="280" spans="1:22" s="247" customFormat="1">
      <c r="A280" s="396"/>
      <c r="B280" s="299"/>
      <c r="C280" s="293"/>
      <c r="D280" s="293"/>
      <c r="E280" s="293"/>
      <c r="F280" s="293"/>
      <c r="G280" s="293"/>
      <c r="H280" s="294"/>
      <c r="I280" s="295">
        <v>600.22</v>
      </c>
      <c r="J280" s="296" t="s">
        <v>163</v>
      </c>
      <c r="K280" s="297"/>
      <c r="L280" s="492"/>
      <c r="M280" s="464"/>
      <c r="N280" s="531"/>
      <c r="O280" s="562"/>
    </row>
    <row r="281" spans="1:22" s="247" customFormat="1">
      <c r="A281" s="396"/>
      <c r="B281" s="299"/>
      <c r="C281" s="293"/>
      <c r="D281" s="293"/>
      <c r="E281" s="293"/>
      <c r="F281" s="293"/>
      <c r="G281" s="293"/>
      <c r="H281" s="294"/>
      <c r="I281" s="295">
        <v>600.29</v>
      </c>
      <c r="J281" s="296" t="s">
        <v>164</v>
      </c>
      <c r="K281" s="297"/>
      <c r="L281" s="492"/>
      <c r="M281" s="464"/>
      <c r="N281" s="531"/>
      <c r="O281" s="562"/>
    </row>
    <row r="282" spans="1:22" s="247" customFormat="1">
      <c r="A282" s="396"/>
      <c r="B282" s="299"/>
      <c r="C282" s="293"/>
      <c r="D282" s="293"/>
      <c r="E282" s="293"/>
      <c r="F282" s="293"/>
      <c r="G282" s="293"/>
      <c r="H282" s="294"/>
      <c r="I282" s="295">
        <v>600.29999999999995</v>
      </c>
      <c r="J282" s="296" t="s">
        <v>165</v>
      </c>
      <c r="K282" s="297"/>
      <c r="L282" s="492"/>
      <c r="M282" s="464"/>
      <c r="N282" s="531"/>
      <c r="O282" s="562"/>
      <c r="P282" s="298"/>
      <c r="T282" s="319"/>
      <c r="U282" s="319"/>
      <c r="V282" s="319"/>
    </row>
    <row r="283" spans="1:22" s="247" customFormat="1">
      <c r="A283" s="396"/>
      <c r="B283" s="299"/>
      <c r="C283" s="293"/>
      <c r="D283" s="293"/>
      <c r="E283" s="293"/>
      <c r="F283" s="293"/>
      <c r="G283" s="293"/>
      <c r="H283" s="294"/>
      <c r="I283" s="295">
        <v>600.30999999999995</v>
      </c>
      <c r="J283" s="296" t="s">
        <v>166</v>
      </c>
      <c r="K283" s="297"/>
      <c r="L283" s="492"/>
      <c r="M283" s="464"/>
      <c r="N283" s="531"/>
      <c r="O283" s="562"/>
      <c r="P283" s="149"/>
      <c r="T283" s="149"/>
      <c r="U283" s="149"/>
      <c r="V283" s="149"/>
    </row>
    <row r="284" spans="1:22" s="247" customFormat="1">
      <c r="A284" s="396"/>
      <c r="B284" s="299"/>
      <c r="C284" s="293"/>
      <c r="D284" s="293"/>
      <c r="E284" s="293"/>
      <c r="F284" s="293"/>
      <c r="G284" s="293"/>
      <c r="H284" s="294"/>
      <c r="I284" s="295"/>
      <c r="J284" s="296" t="s">
        <v>164</v>
      </c>
      <c r="K284" s="297"/>
      <c r="L284" s="492"/>
      <c r="M284" s="465"/>
      <c r="N284" s="532"/>
      <c r="O284" s="563"/>
      <c r="P284" s="512"/>
      <c r="Q284" s="512"/>
      <c r="R284" s="513"/>
      <c r="S284" s="513"/>
      <c r="T284" s="512"/>
      <c r="U284" s="512"/>
      <c r="V284" s="149"/>
    </row>
    <row r="285" spans="1:22" s="247" customFormat="1" ht="13.5" thickBot="1">
      <c r="A285" s="396"/>
      <c r="B285" s="300"/>
      <c r="C285" s="301"/>
      <c r="D285" s="301"/>
      <c r="E285" s="301"/>
      <c r="F285" s="301"/>
      <c r="G285" s="301"/>
      <c r="H285" s="302"/>
      <c r="I285" s="303">
        <v>600.9</v>
      </c>
      <c r="J285" s="304" t="s">
        <v>167</v>
      </c>
      <c r="K285" s="305"/>
      <c r="L285" s="493"/>
      <c r="M285" s="466"/>
      <c r="N285" s="533"/>
      <c r="O285" s="563"/>
      <c r="P285" s="149"/>
      <c r="T285" s="149"/>
      <c r="U285" s="149"/>
      <c r="V285" s="149"/>
    </row>
    <row r="286" spans="1:22" s="209" customFormat="1" ht="13.5" thickBot="1">
      <c r="A286" s="383"/>
      <c r="B286" s="280"/>
      <c r="C286" s="281"/>
      <c r="D286" s="281"/>
      <c r="E286" s="281"/>
      <c r="F286" s="281"/>
      <c r="G286" s="281"/>
      <c r="H286" s="282">
        <v>601</v>
      </c>
      <c r="I286" s="283"/>
      <c r="J286" s="284" t="s">
        <v>168</v>
      </c>
      <c r="K286" s="285">
        <v>8170</v>
      </c>
      <c r="L286" s="577">
        <v>1362</v>
      </c>
      <c r="M286" s="285">
        <f>SUM(M287+M288)</f>
        <v>1063569</v>
      </c>
      <c r="N286" s="285">
        <f>SUM(N287+N288)</f>
        <v>1063569</v>
      </c>
      <c r="O286" s="285"/>
      <c r="P286" s="149"/>
      <c r="Q286" s="247"/>
      <c r="R286" s="247"/>
      <c r="S286" s="247"/>
      <c r="T286" s="149"/>
      <c r="U286" s="149"/>
      <c r="V286" s="149"/>
    </row>
    <row r="287" spans="1:22" s="247" customFormat="1">
      <c r="A287" s="396"/>
      <c r="B287" s="306"/>
      <c r="C287" s="307"/>
      <c r="D287" s="307"/>
      <c r="E287" s="307"/>
      <c r="F287" s="307"/>
      <c r="G287" s="307"/>
      <c r="H287" s="308"/>
      <c r="I287" s="309">
        <v>601.01</v>
      </c>
      <c r="J287" s="291" t="s">
        <v>169</v>
      </c>
      <c r="K287" s="310"/>
      <c r="L287" s="494"/>
      <c r="M287" s="463">
        <f>495849+459449</f>
        <v>955298</v>
      </c>
      <c r="N287" s="463">
        <f>495849+459449</f>
        <v>955298</v>
      </c>
      <c r="O287" s="562"/>
      <c r="P287" s="149"/>
      <c r="T287" s="149"/>
      <c r="U287" s="149"/>
      <c r="V287" s="149"/>
    </row>
    <row r="288" spans="1:22" s="247" customFormat="1" ht="18.75" customHeight="1" thickBot="1">
      <c r="A288" s="396"/>
      <c r="B288" s="300"/>
      <c r="C288" s="301"/>
      <c r="D288" s="301"/>
      <c r="E288" s="301"/>
      <c r="F288" s="301"/>
      <c r="G288" s="301"/>
      <c r="H288" s="302"/>
      <c r="I288" s="311">
        <v>601.11</v>
      </c>
      <c r="J288" s="304" t="s">
        <v>253</v>
      </c>
      <c r="K288" s="312"/>
      <c r="L288" s="495"/>
      <c r="M288" s="467">
        <f>56201+52070</f>
        <v>108271</v>
      </c>
      <c r="N288" s="467">
        <f>56201+52070</f>
        <v>108271</v>
      </c>
      <c r="O288" s="562"/>
      <c r="P288" s="149"/>
      <c r="T288" s="149"/>
      <c r="U288" s="149"/>
      <c r="V288" s="149"/>
    </row>
    <row r="289" spans="1:22" s="319" customFormat="1" ht="13.5" thickBot="1">
      <c r="A289" s="397"/>
      <c r="B289" s="313"/>
      <c r="C289" s="314"/>
      <c r="D289" s="314"/>
      <c r="E289" s="314"/>
      <c r="F289" s="314"/>
      <c r="G289" s="314"/>
      <c r="H289" s="315">
        <v>602</v>
      </c>
      <c r="I289" s="316"/>
      <c r="J289" s="317" t="s">
        <v>170</v>
      </c>
      <c r="K289" s="285">
        <v>17700</v>
      </c>
      <c r="L289" s="285">
        <v>6700</v>
      </c>
      <c r="M289" s="285">
        <f>SUM(M290+M297+M310+M325+M330+M333+M342+M348+M355+M358)</f>
        <v>6679228</v>
      </c>
      <c r="N289" s="285">
        <f>SUM(N290+N297+N310+N325+N330+N333+N342+N348+N355+N358)</f>
        <v>6669228</v>
      </c>
      <c r="O289" s="318">
        <v>4595650</v>
      </c>
      <c r="P289" s="149"/>
      <c r="Q289" s="247"/>
      <c r="R289" s="247"/>
      <c r="S289" s="247"/>
      <c r="T289" s="149"/>
      <c r="U289" s="149"/>
      <c r="V289" s="149"/>
    </row>
    <row r="290" spans="1:22" ht="14.25" customHeight="1" thickBot="1">
      <c r="A290" s="163"/>
      <c r="B290" s="320"/>
      <c r="C290" s="321"/>
      <c r="D290" s="321"/>
      <c r="E290" s="321"/>
      <c r="F290" s="321"/>
      <c r="G290" s="321"/>
      <c r="H290" s="322"/>
      <c r="I290" s="323">
        <v>6020</v>
      </c>
      <c r="J290" s="324" t="s">
        <v>171</v>
      </c>
      <c r="K290" s="325">
        <f>SUM(K291+K292+K293+K294+K295+K296)</f>
        <v>0</v>
      </c>
      <c r="L290" s="496">
        <f>SUM(L291+L292+L293+L294+L295+L296)</f>
        <v>0</v>
      </c>
      <c r="M290" s="447">
        <f>SUM(M291+M292+M293+M294+M295+M296)</f>
        <v>510000</v>
      </c>
      <c r="N290" s="447">
        <f>SUM(N291+N292+N293+N294+N295+N296)</f>
        <v>510000</v>
      </c>
      <c r="O290" s="564"/>
      <c r="Q290" s="247"/>
      <c r="R290" s="247"/>
      <c r="S290" s="247"/>
    </row>
    <row r="291" spans="1:22" ht="12" customHeight="1" thickBot="1">
      <c r="A291" s="163"/>
      <c r="B291" s="326"/>
      <c r="C291" s="327"/>
      <c r="D291" s="327"/>
      <c r="E291" s="327"/>
      <c r="F291" s="327"/>
      <c r="G291" s="327"/>
      <c r="H291" s="328"/>
      <c r="I291" s="329" t="s">
        <v>11</v>
      </c>
      <c r="J291" s="330" t="s">
        <v>172</v>
      </c>
      <c r="K291" s="331"/>
      <c r="L291" s="497"/>
      <c r="M291" s="468"/>
      <c r="N291" s="537"/>
      <c r="O291" s="325"/>
      <c r="Q291" s="247"/>
      <c r="R291" s="247"/>
      <c r="S291" s="247"/>
    </row>
    <row r="292" spans="1:22" ht="12" customHeight="1">
      <c r="A292" s="163"/>
      <c r="B292" s="332"/>
      <c r="C292" s="333"/>
      <c r="D292" s="333"/>
      <c r="E292" s="333"/>
      <c r="F292" s="333"/>
      <c r="G292" s="333"/>
      <c r="H292" s="334"/>
      <c r="I292" s="335">
        <v>602.02</v>
      </c>
      <c r="J292" s="336" t="s">
        <v>173</v>
      </c>
      <c r="K292" s="337"/>
      <c r="L292" s="498"/>
      <c r="M292" s="469">
        <v>65000</v>
      </c>
      <c r="N292" s="469">
        <v>65000</v>
      </c>
      <c r="O292" s="565"/>
      <c r="Q292" s="247"/>
      <c r="R292" s="247"/>
      <c r="S292" s="247"/>
    </row>
    <row r="293" spans="1:22" ht="12" customHeight="1">
      <c r="A293" s="163"/>
      <c r="B293" s="339"/>
      <c r="C293" s="340"/>
      <c r="D293" s="340"/>
      <c r="E293" s="340"/>
      <c r="F293" s="340"/>
      <c r="G293" s="340"/>
      <c r="H293" s="150"/>
      <c r="I293" s="341">
        <v>602.03</v>
      </c>
      <c r="J293" s="342" t="s">
        <v>174</v>
      </c>
      <c r="K293" s="343"/>
      <c r="L293" s="499"/>
      <c r="M293" s="470">
        <v>37000</v>
      </c>
      <c r="N293" s="470">
        <v>37000</v>
      </c>
      <c r="O293" s="565"/>
      <c r="Q293" s="247"/>
      <c r="R293" s="247"/>
      <c r="S293" s="247"/>
    </row>
    <row r="294" spans="1:22" ht="12" customHeight="1">
      <c r="A294" s="163"/>
      <c r="B294" s="339"/>
      <c r="C294" s="340"/>
      <c r="D294" s="340"/>
      <c r="E294" s="340"/>
      <c r="F294" s="340"/>
      <c r="G294" s="340"/>
      <c r="H294" s="150"/>
      <c r="I294" s="341">
        <v>602.04</v>
      </c>
      <c r="J294" s="342" t="s">
        <v>175</v>
      </c>
      <c r="K294" s="343"/>
      <c r="L294" s="499"/>
      <c r="M294" s="470"/>
      <c r="N294" s="470"/>
      <c r="O294" s="565"/>
      <c r="Q294" s="247"/>
      <c r="R294" s="247"/>
      <c r="S294" s="247"/>
    </row>
    <row r="295" spans="1:22" ht="12" customHeight="1">
      <c r="A295" s="163"/>
      <c r="B295" s="339"/>
      <c r="C295" s="340"/>
      <c r="D295" s="340"/>
      <c r="E295" s="340"/>
      <c r="F295" s="340"/>
      <c r="G295" s="340"/>
      <c r="H295" s="150"/>
      <c r="I295" s="341">
        <v>602.04999999999995</v>
      </c>
      <c r="J295" s="342" t="s">
        <v>176</v>
      </c>
      <c r="K295" s="343"/>
      <c r="L295" s="499"/>
      <c r="M295" s="470">
        <v>0</v>
      </c>
      <c r="N295" s="470">
        <v>0</v>
      </c>
      <c r="O295" s="565"/>
      <c r="Q295" s="298"/>
      <c r="R295" s="247"/>
      <c r="S295" s="247"/>
    </row>
    <row r="296" spans="1:22" ht="12" customHeight="1" thickBot="1">
      <c r="A296" s="163"/>
      <c r="B296" s="345"/>
      <c r="C296" s="346"/>
      <c r="D296" s="346"/>
      <c r="E296" s="346"/>
      <c r="F296" s="346"/>
      <c r="G296" s="346"/>
      <c r="H296" s="164"/>
      <c r="I296" s="347">
        <v>602.09</v>
      </c>
      <c r="J296" s="348" t="s">
        <v>177</v>
      </c>
      <c r="K296" s="349"/>
      <c r="L296" s="500"/>
      <c r="M296" s="471">
        <v>408000</v>
      </c>
      <c r="N296" s="471">
        <v>408000</v>
      </c>
      <c r="O296" s="565"/>
      <c r="Q296" s="247"/>
      <c r="R296" s="247"/>
      <c r="S296" s="247"/>
    </row>
    <row r="297" spans="1:22" ht="13.5" thickBot="1">
      <c r="A297" s="163"/>
      <c r="B297" s="320"/>
      <c r="C297" s="321"/>
      <c r="D297" s="321"/>
      <c r="E297" s="321"/>
      <c r="F297" s="321"/>
      <c r="G297" s="321"/>
      <c r="H297" s="322"/>
      <c r="I297" s="323">
        <v>602.1</v>
      </c>
      <c r="J297" s="324" t="s">
        <v>178</v>
      </c>
      <c r="K297" s="351">
        <f>SUM(K298+K299+K300+K301+K302+K303+K304+K305+K306+K307+K308+K309)</f>
        <v>0</v>
      </c>
      <c r="L297" s="501">
        <f>SUM(L298+L299+L300+L301+L302+L303+L304+L305+L306+L307+L308+L309)</f>
        <v>0</v>
      </c>
      <c r="M297" s="472">
        <f>SUM(M298+M299+M300+M301+M302+M303+M304+M305+M306+M307+M308+M309)</f>
        <v>0</v>
      </c>
      <c r="N297" s="541"/>
      <c r="O297" s="472"/>
      <c r="Q297" s="247"/>
      <c r="R297" s="247"/>
      <c r="S297" s="247"/>
    </row>
    <row r="298" spans="1:22" ht="12" customHeight="1">
      <c r="A298" s="163"/>
      <c r="B298" s="352"/>
      <c r="C298" s="353"/>
      <c r="D298" s="353"/>
      <c r="E298" s="353"/>
      <c r="F298" s="353"/>
      <c r="G298" s="353"/>
      <c r="H298" s="354"/>
      <c r="I298" s="355">
        <v>602.1001</v>
      </c>
      <c r="J298" s="356" t="s">
        <v>179</v>
      </c>
      <c r="K298" s="357"/>
      <c r="L298" s="502"/>
      <c r="M298" s="473"/>
      <c r="N298" s="542"/>
      <c r="O298" s="565"/>
      <c r="Q298" s="247"/>
      <c r="R298" s="247"/>
      <c r="S298" s="247"/>
    </row>
    <row r="299" spans="1:22" ht="12" customHeight="1">
      <c r="A299" s="163"/>
      <c r="B299" s="339"/>
      <c r="C299" s="340"/>
      <c r="D299" s="340"/>
      <c r="E299" s="340"/>
      <c r="F299" s="340"/>
      <c r="G299" s="340"/>
      <c r="H299" s="150"/>
      <c r="I299" s="358">
        <v>602.10019999999997</v>
      </c>
      <c r="J299" s="359" t="s">
        <v>180</v>
      </c>
      <c r="K299" s="343"/>
      <c r="L299" s="503"/>
      <c r="M299" s="470"/>
      <c r="N299" s="539"/>
      <c r="O299" s="565"/>
      <c r="Q299" s="247"/>
      <c r="R299" s="247"/>
      <c r="S299" s="247"/>
    </row>
    <row r="300" spans="1:22" ht="12" customHeight="1">
      <c r="A300" s="163"/>
      <c r="B300" s="339"/>
      <c r="C300" s="340"/>
      <c r="D300" s="340"/>
      <c r="E300" s="340"/>
      <c r="F300" s="340"/>
      <c r="G300" s="340"/>
      <c r="H300" s="150"/>
      <c r="I300" s="358">
        <v>602.10029999999995</v>
      </c>
      <c r="J300" s="359" t="s">
        <v>181</v>
      </c>
      <c r="K300" s="343"/>
      <c r="L300" s="503"/>
      <c r="M300" s="470"/>
      <c r="N300" s="539"/>
      <c r="O300" s="565"/>
      <c r="R300" s="247"/>
      <c r="S300" s="247"/>
    </row>
    <row r="301" spans="1:22" ht="12" customHeight="1">
      <c r="A301" s="163"/>
      <c r="B301" s="339"/>
      <c r="C301" s="340"/>
      <c r="D301" s="340"/>
      <c r="E301" s="340"/>
      <c r="F301" s="340"/>
      <c r="G301" s="340"/>
      <c r="H301" s="150"/>
      <c r="I301" s="358">
        <v>602.10040000000004</v>
      </c>
      <c r="J301" s="359" t="s">
        <v>182</v>
      </c>
      <c r="K301" s="343"/>
      <c r="L301" s="503"/>
      <c r="M301" s="470"/>
      <c r="N301" s="539"/>
      <c r="O301" s="565"/>
      <c r="R301" s="247"/>
      <c r="S301" s="247"/>
    </row>
    <row r="302" spans="1:22" ht="12" customHeight="1">
      <c r="A302" s="163"/>
      <c r="B302" s="339"/>
      <c r="C302" s="340"/>
      <c r="D302" s="340"/>
      <c r="E302" s="340"/>
      <c r="F302" s="340"/>
      <c r="G302" s="340"/>
      <c r="H302" s="150"/>
      <c r="I302" s="358">
        <v>602.10050000000001</v>
      </c>
      <c r="J302" s="359" t="s">
        <v>183</v>
      </c>
      <c r="K302" s="343"/>
      <c r="L302" s="503"/>
      <c r="M302" s="470"/>
      <c r="N302" s="539"/>
      <c r="O302" s="565"/>
      <c r="R302" s="247"/>
      <c r="S302" s="247"/>
    </row>
    <row r="303" spans="1:22" ht="12" customHeight="1">
      <c r="A303" s="163"/>
      <c r="B303" s="339"/>
      <c r="C303" s="340"/>
      <c r="D303" s="340"/>
      <c r="E303" s="340"/>
      <c r="F303" s="340"/>
      <c r="G303" s="340"/>
      <c r="H303" s="150"/>
      <c r="I303" s="358">
        <v>602.10059999999999</v>
      </c>
      <c r="J303" s="359" t="s">
        <v>184</v>
      </c>
      <c r="K303" s="343"/>
      <c r="L303" s="503"/>
      <c r="M303" s="470"/>
      <c r="N303" s="539"/>
      <c r="O303" s="565"/>
      <c r="R303" s="247"/>
      <c r="S303" s="247"/>
    </row>
    <row r="304" spans="1:22" ht="12" customHeight="1">
      <c r="A304" s="163"/>
      <c r="B304" s="339"/>
      <c r="C304" s="340"/>
      <c r="D304" s="340"/>
      <c r="E304" s="340"/>
      <c r="F304" s="340"/>
      <c r="G304" s="340"/>
      <c r="H304" s="150"/>
      <c r="I304" s="358">
        <v>602.10069999999996</v>
      </c>
      <c r="J304" s="359" t="s">
        <v>185</v>
      </c>
      <c r="K304" s="343"/>
      <c r="L304" s="503"/>
      <c r="M304" s="470"/>
      <c r="N304" s="539"/>
      <c r="O304" s="565"/>
      <c r="R304" s="247"/>
      <c r="S304" s="247"/>
    </row>
    <row r="305" spans="1:21" ht="12" customHeight="1">
      <c r="A305" s="163"/>
      <c r="B305" s="339"/>
      <c r="C305" s="340"/>
      <c r="D305" s="340"/>
      <c r="E305" s="340"/>
      <c r="F305" s="340"/>
      <c r="G305" s="340"/>
      <c r="H305" s="150"/>
      <c r="I305" s="358">
        <v>602.10080000000005</v>
      </c>
      <c r="J305" s="359" t="s">
        <v>186</v>
      </c>
      <c r="K305" s="343"/>
      <c r="L305" s="503"/>
      <c r="M305" s="470"/>
      <c r="N305" s="539"/>
      <c r="O305" s="565"/>
      <c r="R305" s="247"/>
      <c r="S305" s="247"/>
    </row>
    <row r="306" spans="1:21" ht="12" customHeight="1">
      <c r="A306" s="163"/>
      <c r="B306" s="339"/>
      <c r="C306" s="340"/>
      <c r="D306" s="340"/>
      <c r="E306" s="340"/>
      <c r="F306" s="340"/>
      <c r="G306" s="340"/>
      <c r="H306" s="150"/>
      <c r="I306" s="358">
        <v>602.10090000000002</v>
      </c>
      <c r="J306" s="342" t="s">
        <v>187</v>
      </c>
      <c r="K306" s="344"/>
      <c r="L306" s="499"/>
      <c r="M306" s="474"/>
      <c r="N306" s="543"/>
      <c r="O306" s="567"/>
      <c r="R306" s="247"/>
      <c r="S306" s="247"/>
    </row>
    <row r="307" spans="1:21" ht="12" customHeight="1">
      <c r="A307" s="163"/>
      <c r="B307" s="339"/>
      <c r="C307" s="340"/>
      <c r="D307" s="340"/>
      <c r="E307" s="340"/>
      <c r="F307" s="340"/>
      <c r="G307" s="340"/>
      <c r="H307" s="150"/>
      <c r="I307" s="358">
        <v>602.101</v>
      </c>
      <c r="J307" s="342" t="s">
        <v>188</v>
      </c>
      <c r="K307" s="344"/>
      <c r="L307" s="499"/>
      <c r="M307" s="474"/>
      <c r="N307" s="543"/>
      <c r="O307" s="567"/>
      <c r="R307" s="247"/>
      <c r="S307" s="247"/>
    </row>
    <row r="308" spans="1:21" ht="12" customHeight="1">
      <c r="A308" s="163"/>
      <c r="B308" s="339"/>
      <c r="C308" s="340"/>
      <c r="D308" s="340"/>
      <c r="E308" s="340"/>
      <c r="F308" s="340"/>
      <c r="G308" s="340"/>
      <c r="H308" s="150"/>
      <c r="I308" s="341">
        <v>602.10109999999997</v>
      </c>
      <c r="J308" s="342" t="s">
        <v>189</v>
      </c>
      <c r="K308" s="344"/>
      <c r="L308" s="499"/>
      <c r="M308" s="474"/>
      <c r="N308" s="543"/>
      <c r="O308" s="567"/>
      <c r="R308" s="247"/>
      <c r="S308" s="247"/>
    </row>
    <row r="309" spans="1:21" ht="12" customHeight="1" thickBot="1">
      <c r="A309" s="163"/>
      <c r="B309" s="367"/>
      <c r="C309" s="368"/>
      <c r="D309" s="368"/>
      <c r="E309" s="368"/>
      <c r="F309" s="368"/>
      <c r="G309" s="368"/>
      <c r="H309" s="369"/>
      <c r="I309" s="370">
        <v>602.10990000000004</v>
      </c>
      <c r="J309" s="371" t="s">
        <v>190</v>
      </c>
      <c r="K309" s="378"/>
      <c r="L309" s="504"/>
      <c r="M309" s="475"/>
      <c r="N309" s="544"/>
      <c r="O309" s="567"/>
      <c r="R309" s="247"/>
      <c r="S309" s="247"/>
    </row>
    <row r="310" spans="1:21" ht="13.5" thickBot="1">
      <c r="A310" s="163"/>
      <c r="B310" s="320"/>
      <c r="C310" s="321"/>
      <c r="D310" s="321"/>
      <c r="E310" s="321"/>
      <c r="F310" s="321"/>
      <c r="G310" s="321"/>
      <c r="H310" s="322"/>
      <c r="I310" s="323">
        <v>602.20000000000005</v>
      </c>
      <c r="J310" s="324" t="s">
        <v>191</v>
      </c>
      <c r="K310" s="351">
        <f>SUM(K311+K312+K313+K314+K315+K316+K317+K318+K319+K320+K321+K322+K323+K324)</f>
        <v>0</v>
      </c>
      <c r="L310" s="501">
        <f>SUM(L311+L312+L313+L314+L315+L316+L317+L318+L319+L320+L321+L322+L323+L324)</f>
        <v>0</v>
      </c>
      <c r="M310" s="476">
        <f>SUM(M311+M312+M313+M316+M317+M318+M319+M320+M321+M322+M323+M324)</f>
        <v>987592</v>
      </c>
      <c r="N310" s="476">
        <f>SUM(N311+N312+N313+N316+N317+N318+N319+N320+N321+N322+N323+N324)</f>
        <v>987592</v>
      </c>
      <c r="O310" s="476"/>
      <c r="R310" s="247"/>
      <c r="S310" s="247"/>
    </row>
    <row r="311" spans="1:21" ht="12" customHeight="1">
      <c r="A311" s="163"/>
      <c r="B311" s="352"/>
      <c r="C311" s="353"/>
      <c r="D311" s="353"/>
      <c r="E311" s="353"/>
      <c r="F311" s="353"/>
      <c r="G311" s="353"/>
      <c r="H311" s="354"/>
      <c r="I311" s="360">
        <v>602.20010000000002</v>
      </c>
      <c r="J311" s="361" t="s">
        <v>192</v>
      </c>
      <c r="K311" s="362"/>
      <c r="L311" s="505"/>
      <c r="M311" s="514">
        <v>296517</v>
      </c>
      <c r="N311" s="514">
        <v>296517</v>
      </c>
      <c r="O311" s="568"/>
      <c r="R311" s="247"/>
      <c r="S311" s="247"/>
    </row>
    <row r="312" spans="1:21" ht="12" customHeight="1">
      <c r="A312" s="163"/>
      <c r="B312" s="339"/>
      <c r="C312" s="340"/>
      <c r="D312" s="340"/>
      <c r="E312" s="340"/>
      <c r="F312" s="340"/>
      <c r="G312" s="340"/>
      <c r="H312" s="150"/>
      <c r="I312" s="341">
        <v>602.2002</v>
      </c>
      <c r="J312" s="342" t="s">
        <v>193</v>
      </c>
      <c r="K312" s="344"/>
      <c r="L312" s="499"/>
      <c r="M312" s="474">
        <v>0</v>
      </c>
      <c r="N312" s="474">
        <v>0</v>
      </c>
      <c r="O312" s="567"/>
      <c r="R312" s="247"/>
      <c r="S312" s="247"/>
    </row>
    <row r="313" spans="1:21" ht="12" customHeight="1">
      <c r="A313" s="163"/>
      <c r="B313" s="339"/>
      <c r="C313" s="340"/>
      <c r="D313" s="340"/>
      <c r="E313" s="340"/>
      <c r="F313" s="340"/>
      <c r="G313" s="340"/>
      <c r="H313" s="150"/>
      <c r="I313" s="341">
        <v>602.20029999999997</v>
      </c>
      <c r="J313" s="342" t="s">
        <v>194</v>
      </c>
      <c r="K313" s="344"/>
      <c r="L313" s="499"/>
      <c r="M313" s="478">
        <f>M314+M315</f>
        <v>439289</v>
      </c>
      <c r="N313" s="478">
        <f>N314+N315</f>
        <v>439289</v>
      </c>
      <c r="O313" s="569"/>
      <c r="R313" s="247"/>
      <c r="S313" s="247"/>
    </row>
    <row r="314" spans="1:21" ht="12" customHeight="1">
      <c r="A314" s="163"/>
      <c r="B314" s="339"/>
      <c r="C314" s="340"/>
      <c r="D314" s="340"/>
      <c r="E314" s="340"/>
      <c r="F314" s="340"/>
      <c r="G314" s="340"/>
      <c r="H314" s="150"/>
      <c r="I314" s="341"/>
      <c r="J314" s="363" t="s">
        <v>195</v>
      </c>
      <c r="K314" s="344"/>
      <c r="L314" s="499"/>
      <c r="M314" s="515">
        <f>122256+121920+101178</f>
        <v>345354</v>
      </c>
      <c r="N314" s="515">
        <f>122256+121920+101178</f>
        <v>345354</v>
      </c>
      <c r="O314" s="570"/>
      <c r="R314" s="247"/>
      <c r="S314" s="247"/>
    </row>
    <row r="315" spans="1:21" ht="13.5" customHeight="1">
      <c r="A315" s="163"/>
      <c r="B315" s="339"/>
      <c r="C315" s="340"/>
      <c r="D315" s="340"/>
      <c r="E315" s="340"/>
      <c r="F315" s="340"/>
      <c r="G315" s="340"/>
      <c r="H315" s="150"/>
      <c r="I315" s="341"/>
      <c r="J315" s="363" t="s">
        <v>196</v>
      </c>
      <c r="K315" s="344"/>
      <c r="L315" s="499"/>
      <c r="M315" s="479">
        <f>31811+33999+28125</f>
        <v>93935</v>
      </c>
      <c r="N315" s="479">
        <f>31811+33999+28125</f>
        <v>93935</v>
      </c>
      <c r="O315" s="571"/>
      <c r="R315" s="247"/>
      <c r="S315" s="247"/>
    </row>
    <row r="316" spans="1:21" ht="12" customHeight="1">
      <c r="A316" s="163"/>
      <c r="B316" s="339"/>
      <c r="C316" s="340"/>
      <c r="D316" s="340"/>
      <c r="E316" s="340"/>
      <c r="F316" s="340"/>
      <c r="G316" s="340"/>
      <c r="H316" s="150"/>
      <c r="I316" s="341">
        <v>602.20039999999995</v>
      </c>
      <c r="J316" s="342" t="s">
        <v>197</v>
      </c>
      <c r="K316" s="344"/>
      <c r="L316" s="499"/>
      <c r="M316" s="516">
        <f>114564-31578</f>
        <v>82986</v>
      </c>
      <c r="N316" s="516">
        <f>114564-31578</f>
        <v>82986</v>
      </c>
      <c r="O316" s="572"/>
      <c r="R316" s="247"/>
      <c r="S316" s="247"/>
    </row>
    <row r="317" spans="1:21" ht="12" customHeight="1">
      <c r="A317" s="163"/>
      <c r="B317" s="339"/>
      <c r="C317" s="340"/>
      <c r="D317" s="340"/>
      <c r="E317" s="340"/>
      <c r="F317" s="340"/>
      <c r="G317" s="340"/>
      <c r="H317" s="150"/>
      <c r="I317" s="341">
        <v>602.20050000000003</v>
      </c>
      <c r="J317" s="342" t="s">
        <v>198</v>
      </c>
      <c r="K317" s="344"/>
      <c r="L317" s="499"/>
      <c r="M317" s="474">
        <v>75000</v>
      </c>
      <c r="N317" s="474">
        <v>75000</v>
      </c>
      <c r="O317" s="567"/>
      <c r="P317" s="512"/>
      <c r="Q317" s="512"/>
      <c r="R317" s="513"/>
      <c r="S317" s="513"/>
      <c r="T317" s="512"/>
      <c r="U317" s="512"/>
    </row>
    <row r="318" spans="1:21" ht="12" customHeight="1">
      <c r="A318" s="163"/>
      <c r="B318" s="339"/>
      <c r="C318" s="340"/>
      <c r="D318" s="340"/>
      <c r="E318" s="340"/>
      <c r="F318" s="340"/>
      <c r="G318" s="340"/>
      <c r="H318" s="150"/>
      <c r="I318" s="341">
        <v>602.20060000000001</v>
      </c>
      <c r="J318" s="342" t="s">
        <v>199</v>
      </c>
      <c r="K318" s="344"/>
      <c r="L318" s="499"/>
      <c r="M318" s="474"/>
      <c r="N318" s="474"/>
      <c r="O318" s="567"/>
      <c r="P318" s="512"/>
      <c r="Q318" s="512"/>
      <c r="R318" s="513"/>
      <c r="S318" s="247"/>
    </row>
    <row r="319" spans="1:21" ht="12" customHeight="1">
      <c r="A319" s="163"/>
      <c r="B319" s="339"/>
      <c r="C319" s="340"/>
      <c r="D319" s="340"/>
      <c r="E319" s="340"/>
      <c r="F319" s="340"/>
      <c r="G319" s="340"/>
      <c r="H319" s="150"/>
      <c r="I319" s="341">
        <v>602.20069999999998</v>
      </c>
      <c r="J319" s="342" t="s">
        <v>200</v>
      </c>
      <c r="K319" s="344"/>
      <c r="L319" s="499"/>
      <c r="M319" s="474">
        <v>200</v>
      </c>
      <c r="N319" s="474">
        <v>200</v>
      </c>
      <c r="O319" s="567"/>
      <c r="P319" s="512"/>
      <c r="Q319" s="512"/>
      <c r="R319" s="513"/>
      <c r="S319" s="247"/>
    </row>
    <row r="320" spans="1:21" ht="12" customHeight="1">
      <c r="A320" s="163"/>
      <c r="B320" s="339"/>
      <c r="C320" s="340"/>
      <c r="D320" s="340"/>
      <c r="E320" s="340"/>
      <c r="F320" s="340"/>
      <c r="G320" s="340"/>
      <c r="H320" s="150"/>
      <c r="I320" s="341">
        <v>602.20079999999996</v>
      </c>
      <c r="J320" s="342" t="s">
        <v>201</v>
      </c>
      <c r="K320" s="344"/>
      <c r="L320" s="499"/>
      <c r="M320" s="474"/>
      <c r="N320" s="474"/>
      <c r="O320" s="567"/>
      <c r="P320" s="512"/>
      <c r="Q320" s="512"/>
      <c r="R320" s="513"/>
      <c r="S320" s="247"/>
    </row>
    <row r="321" spans="1:19" ht="12" customHeight="1">
      <c r="A321" s="163"/>
      <c r="B321" s="339"/>
      <c r="C321" s="340"/>
      <c r="D321" s="340"/>
      <c r="E321" s="340"/>
      <c r="F321" s="340"/>
      <c r="G321" s="340"/>
      <c r="H321" s="150"/>
      <c r="I321" s="341">
        <v>602.20090000000005</v>
      </c>
      <c r="J321" s="342" t="s">
        <v>202</v>
      </c>
      <c r="K321" s="344"/>
      <c r="L321" s="499"/>
      <c r="M321" s="474"/>
      <c r="N321" s="474"/>
      <c r="O321" s="567"/>
      <c r="P321" s="512"/>
      <c r="Q321" s="512"/>
      <c r="R321" s="513"/>
      <c r="S321" s="247"/>
    </row>
    <row r="322" spans="1:19" ht="12" customHeight="1">
      <c r="A322" s="163"/>
      <c r="B322" s="339"/>
      <c r="C322" s="340"/>
      <c r="D322" s="340"/>
      <c r="E322" s="340"/>
      <c r="F322" s="340"/>
      <c r="G322" s="340"/>
      <c r="H322" s="150"/>
      <c r="I322" s="341">
        <v>602.20100000000002</v>
      </c>
      <c r="J322" s="342" t="s">
        <v>203</v>
      </c>
      <c r="K322" s="344"/>
      <c r="L322" s="499"/>
      <c r="M322" s="474"/>
      <c r="N322" s="474"/>
      <c r="O322" s="567"/>
      <c r="P322" s="512"/>
      <c r="Q322" s="512"/>
      <c r="R322" s="513"/>
      <c r="S322" s="247"/>
    </row>
    <row r="323" spans="1:19" ht="12" customHeight="1">
      <c r="A323" s="163"/>
      <c r="B323" s="339"/>
      <c r="C323" s="340"/>
      <c r="D323" s="340"/>
      <c r="E323" s="340"/>
      <c r="F323" s="340"/>
      <c r="G323" s="340"/>
      <c r="H323" s="150"/>
      <c r="I323" s="341">
        <v>602.20110000000102</v>
      </c>
      <c r="J323" s="342" t="s">
        <v>204</v>
      </c>
      <c r="K323" s="344"/>
      <c r="L323" s="499"/>
      <c r="M323" s="474"/>
      <c r="N323" s="474"/>
      <c r="O323" s="567"/>
      <c r="P323" s="512"/>
      <c r="Q323" s="512"/>
      <c r="R323" s="513"/>
      <c r="S323" s="247"/>
    </row>
    <row r="324" spans="1:19" ht="12" customHeight="1" thickBot="1">
      <c r="A324" s="163"/>
      <c r="B324" s="345"/>
      <c r="C324" s="346"/>
      <c r="D324" s="346"/>
      <c r="E324" s="346"/>
      <c r="F324" s="346"/>
      <c r="G324" s="346"/>
      <c r="H324" s="164"/>
      <c r="I324" s="347">
        <v>602.20989999999995</v>
      </c>
      <c r="J324" s="348" t="s">
        <v>205</v>
      </c>
      <c r="K324" s="350"/>
      <c r="L324" s="500"/>
      <c r="M324" s="480">
        <v>93600</v>
      </c>
      <c r="N324" s="480">
        <v>93600</v>
      </c>
      <c r="O324" s="567"/>
      <c r="P324" s="512"/>
      <c r="Q324" s="512"/>
      <c r="R324" s="513"/>
      <c r="S324" s="247"/>
    </row>
    <row r="325" spans="1:19" ht="13.5" thickBot="1">
      <c r="A325" s="163"/>
      <c r="B325" s="320"/>
      <c r="C325" s="321"/>
      <c r="D325" s="321"/>
      <c r="E325" s="321"/>
      <c r="F325" s="321"/>
      <c r="G325" s="321"/>
      <c r="H325" s="322"/>
      <c r="I325" s="323">
        <v>6023</v>
      </c>
      <c r="J325" s="324" t="s">
        <v>206</v>
      </c>
      <c r="K325" s="351">
        <f>SUM(K326+K327+K328+K329)</f>
        <v>0</v>
      </c>
      <c r="L325" s="501">
        <f>SUM(L326+L327+L328+L329)</f>
        <v>0</v>
      </c>
      <c r="M325" s="476">
        <f>SUM(M326+M327+M328+M329)</f>
        <v>1720344</v>
      </c>
      <c r="N325" s="476">
        <f>SUM(N326+N327+N328+N329)</f>
        <v>1720344</v>
      </c>
      <c r="O325" s="476"/>
      <c r="P325" s="512"/>
      <c r="Q325" s="512"/>
      <c r="R325" s="513"/>
      <c r="S325" s="247"/>
    </row>
    <row r="326" spans="1:19">
      <c r="A326" s="163"/>
      <c r="B326" s="352"/>
      <c r="C326" s="353"/>
      <c r="D326" s="353"/>
      <c r="E326" s="353"/>
      <c r="F326" s="353"/>
      <c r="G326" s="353"/>
      <c r="H326" s="354"/>
      <c r="I326" s="360">
        <v>602.30999999999995</v>
      </c>
      <c r="J326" s="361" t="s">
        <v>207</v>
      </c>
      <c r="K326" s="362"/>
      <c r="L326" s="505"/>
      <c r="M326" s="477">
        <v>1702344</v>
      </c>
      <c r="N326" s="477">
        <v>1702344</v>
      </c>
      <c r="O326" s="634">
        <v>330242</v>
      </c>
      <c r="P326" s="512"/>
      <c r="Q326" s="512"/>
      <c r="R326" s="513"/>
      <c r="S326" s="247"/>
    </row>
    <row r="327" spans="1:19">
      <c r="A327" s="163"/>
      <c r="B327" s="339"/>
      <c r="C327" s="340"/>
      <c r="D327" s="340"/>
      <c r="E327" s="340"/>
      <c r="F327" s="340"/>
      <c r="G327" s="340"/>
      <c r="H327" s="150"/>
      <c r="I327" s="341">
        <v>602.32000000000005</v>
      </c>
      <c r="J327" s="342" t="s">
        <v>208</v>
      </c>
      <c r="K327" s="344"/>
      <c r="L327" s="499"/>
      <c r="M327" s="474">
        <v>18000</v>
      </c>
      <c r="N327" s="474">
        <v>18000</v>
      </c>
      <c r="O327" s="567"/>
      <c r="R327" s="247"/>
      <c r="S327" s="247"/>
    </row>
    <row r="328" spans="1:19">
      <c r="A328" s="163"/>
      <c r="B328" s="339"/>
      <c r="C328" s="340"/>
      <c r="D328" s="340"/>
      <c r="E328" s="340"/>
      <c r="F328" s="340"/>
      <c r="G328" s="340"/>
      <c r="H328" s="150"/>
      <c r="I328" s="341">
        <v>602.33000000000004</v>
      </c>
      <c r="J328" s="342" t="s">
        <v>209</v>
      </c>
      <c r="K328" s="344"/>
      <c r="L328" s="499"/>
      <c r="M328" s="474"/>
      <c r="N328" s="474"/>
      <c r="O328" s="567"/>
      <c r="R328" s="247"/>
      <c r="S328" s="247"/>
    </row>
    <row r="329" spans="1:19" ht="13.5" thickBot="1">
      <c r="A329" s="163"/>
      <c r="B329" s="345"/>
      <c r="C329" s="346"/>
      <c r="D329" s="346"/>
      <c r="E329" s="346"/>
      <c r="F329" s="346"/>
      <c r="G329" s="346"/>
      <c r="H329" s="164"/>
      <c r="I329" s="347">
        <v>602.39</v>
      </c>
      <c r="J329" s="348" t="s">
        <v>210</v>
      </c>
      <c r="K329" s="350"/>
      <c r="L329" s="500"/>
      <c r="M329" s="480"/>
      <c r="N329" s="480"/>
      <c r="O329" s="567"/>
      <c r="R329" s="247"/>
      <c r="S329" s="247"/>
    </row>
    <row r="330" spans="1:19" ht="13.5" thickBot="1">
      <c r="A330" s="163"/>
      <c r="B330" s="320"/>
      <c r="C330" s="321"/>
      <c r="D330" s="321"/>
      <c r="E330" s="321"/>
      <c r="F330" s="321"/>
      <c r="G330" s="321"/>
      <c r="H330" s="322"/>
      <c r="I330" s="323">
        <v>602.4</v>
      </c>
      <c r="J330" s="324" t="s">
        <v>35</v>
      </c>
      <c r="K330" s="351">
        <f>SUM(K331+K332)</f>
        <v>0</v>
      </c>
      <c r="L330" s="501">
        <f>SUM(L331+L332)</f>
        <v>0</v>
      </c>
      <c r="M330" s="476">
        <f>SUM(M331+M332)</f>
        <v>2313056</v>
      </c>
      <c r="N330" s="476">
        <f>SUM(N331+N332)</f>
        <v>2313056</v>
      </c>
      <c r="O330" s="476"/>
      <c r="R330" s="247"/>
      <c r="S330" s="247"/>
    </row>
    <row r="331" spans="1:19">
      <c r="A331" s="163"/>
      <c r="B331" s="352"/>
      <c r="C331" s="353"/>
      <c r="D331" s="353"/>
      <c r="E331" s="353"/>
      <c r="F331" s="353"/>
      <c r="G331" s="353"/>
      <c r="H331" s="354"/>
      <c r="I331" s="360">
        <v>602.4</v>
      </c>
      <c r="J331" s="361" t="s">
        <v>211</v>
      </c>
      <c r="K331" s="362"/>
      <c r="L331" s="505"/>
      <c r="M331" s="140">
        <v>2243580</v>
      </c>
      <c r="N331" s="140">
        <v>2243580</v>
      </c>
      <c r="O331" s="573"/>
      <c r="R331" s="247"/>
      <c r="S331" s="247"/>
    </row>
    <row r="332" spans="1:19" ht="13.5" thickBot="1">
      <c r="A332" s="163"/>
      <c r="B332" s="345"/>
      <c r="C332" s="346"/>
      <c r="D332" s="346"/>
      <c r="E332" s="346"/>
      <c r="F332" s="346"/>
      <c r="G332" s="346"/>
      <c r="H332" s="164"/>
      <c r="I332" s="347">
        <v>602.41</v>
      </c>
      <c r="J332" s="348" t="s">
        <v>212</v>
      </c>
      <c r="K332" s="350"/>
      <c r="L332" s="500"/>
      <c r="M332" s="480">
        <v>69476</v>
      </c>
      <c r="N332" s="480">
        <v>69476</v>
      </c>
      <c r="O332" s="567"/>
      <c r="R332" s="247"/>
      <c r="S332" s="247"/>
    </row>
    <row r="333" spans="1:19" ht="13.5" thickBot="1">
      <c r="A333" s="163"/>
      <c r="B333" s="320"/>
      <c r="C333" s="321"/>
      <c r="D333" s="321"/>
      <c r="E333" s="321"/>
      <c r="F333" s="321"/>
      <c r="G333" s="321"/>
      <c r="H333" s="322"/>
      <c r="I333" s="323">
        <v>602.5</v>
      </c>
      <c r="J333" s="324" t="s">
        <v>213</v>
      </c>
      <c r="K333" s="351">
        <f>SUM(K334+K335+K336+K337+K338+K339+K340+K341)</f>
        <v>0</v>
      </c>
      <c r="L333" s="501">
        <f>SUM(L334+L335+L336+L337+L338+L339+L340+L341)</f>
        <v>0</v>
      </c>
      <c r="M333" s="472">
        <f>SUM(M334+M335+M336+M337+M338+M339+M340+M341)</f>
        <v>371300</v>
      </c>
      <c r="N333" s="472">
        <f>SUM(N334+N335+N336+N337+N338+N339+N340+N341)</f>
        <v>371300</v>
      </c>
      <c r="O333" s="472"/>
      <c r="R333" s="247"/>
      <c r="S333" s="247"/>
    </row>
    <row r="334" spans="1:19">
      <c r="A334" s="163"/>
      <c r="B334" s="352"/>
      <c r="C334" s="353"/>
      <c r="D334" s="353"/>
      <c r="E334" s="353"/>
      <c r="F334" s="353"/>
      <c r="G334" s="353"/>
      <c r="H334" s="354"/>
      <c r="I334" s="360">
        <v>602.5</v>
      </c>
      <c r="J334" s="361" t="s">
        <v>214</v>
      </c>
      <c r="K334" s="364"/>
      <c r="L334" s="506"/>
      <c r="M334" s="481"/>
      <c r="N334" s="552"/>
      <c r="O334" s="566"/>
      <c r="R334" s="247"/>
      <c r="S334" s="247"/>
    </row>
    <row r="335" spans="1:19">
      <c r="A335" s="163"/>
      <c r="B335" s="339"/>
      <c r="C335" s="340"/>
      <c r="D335" s="340"/>
      <c r="E335" s="340"/>
      <c r="F335" s="340"/>
      <c r="G335" s="340"/>
      <c r="H335" s="150"/>
      <c r="I335" s="341">
        <v>602.51</v>
      </c>
      <c r="J335" s="342" t="s">
        <v>215</v>
      </c>
      <c r="K335" s="365"/>
      <c r="L335" s="507"/>
      <c r="M335" s="482"/>
      <c r="N335" s="553"/>
      <c r="O335" s="566"/>
      <c r="R335" s="247"/>
      <c r="S335" s="247"/>
    </row>
    <row r="336" spans="1:19">
      <c r="A336" s="163"/>
      <c r="B336" s="339"/>
      <c r="C336" s="340"/>
      <c r="D336" s="340"/>
      <c r="E336" s="340"/>
      <c r="F336" s="340"/>
      <c r="G336" s="340"/>
      <c r="H336" s="150"/>
      <c r="I336" s="341">
        <v>602.52</v>
      </c>
      <c r="J336" s="342" t="s">
        <v>216</v>
      </c>
      <c r="K336" s="365"/>
      <c r="L336" s="507"/>
      <c r="M336" s="482"/>
      <c r="N336" s="553"/>
      <c r="O336" s="566"/>
      <c r="R336" s="247"/>
      <c r="S336" s="247"/>
    </row>
    <row r="337" spans="1:19" ht="13.5" thickBot="1">
      <c r="A337" s="163"/>
      <c r="B337" s="367"/>
      <c r="C337" s="368"/>
      <c r="D337" s="368"/>
      <c r="E337" s="368"/>
      <c r="F337" s="368"/>
      <c r="G337" s="368"/>
      <c r="H337" s="369"/>
      <c r="I337" s="370">
        <v>602.53</v>
      </c>
      <c r="J337" s="371" t="s">
        <v>217</v>
      </c>
      <c r="K337" s="372"/>
      <c r="L337" s="508"/>
      <c r="M337" s="483"/>
      <c r="N337" s="554"/>
      <c r="O337" s="566"/>
      <c r="R337" s="247"/>
      <c r="S337" s="247"/>
    </row>
    <row r="338" spans="1:19">
      <c r="A338" s="163"/>
      <c r="B338" s="332"/>
      <c r="C338" s="333"/>
      <c r="D338" s="333"/>
      <c r="E338" s="333"/>
      <c r="F338" s="333"/>
      <c r="G338" s="333"/>
      <c r="H338" s="334"/>
      <c r="I338" s="335">
        <v>602.54</v>
      </c>
      <c r="J338" s="336" t="s">
        <v>218</v>
      </c>
      <c r="K338" s="373"/>
      <c r="L338" s="509"/>
      <c r="M338" s="469">
        <v>186800</v>
      </c>
      <c r="N338" s="469">
        <v>186800</v>
      </c>
      <c r="O338" s="566"/>
      <c r="R338" s="247"/>
      <c r="S338" s="247"/>
    </row>
    <row r="339" spans="1:19">
      <c r="A339" s="163"/>
      <c r="B339" s="339"/>
      <c r="C339" s="340"/>
      <c r="D339" s="340"/>
      <c r="E339" s="340"/>
      <c r="F339" s="340"/>
      <c r="G339" s="340"/>
      <c r="H339" s="150"/>
      <c r="I339" s="341">
        <v>602.54999999999995</v>
      </c>
      <c r="J339" s="342" t="s">
        <v>219</v>
      </c>
      <c r="K339" s="365"/>
      <c r="L339" s="507"/>
      <c r="M339" s="140">
        <v>84500</v>
      </c>
      <c r="N339" s="140">
        <v>84500</v>
      </c>
      <c r="O339" s="573"/>
      <c r="R339" s="247"/>
      <c r="S339" s="247"/>
    </row>
    <row r="340" spans="1:19">
      <c r="A340" s="163"/>
      <c r="B340" s="339"/>
      <c r="C340" s="340"/>
      <c r="D340" s="340"/>
      <c r="E340" s="340"/>
      <c r="F340" s="340"/>
      <c r="G340" s="340"/>
      <c r="H340" s="150"/>
      <c r="I340" s="341">
        <v>602.55999999999995</v>
      </c>
      <c r="J340" s="342" t="s">
        <v>220</v>
      </c>
      <c r="K340" s="365"/>
      <c r="L340" s="507"/>
      <c r="M340" s="482"/>
      <c r="N340" s="482"/>
      <c r="O340" s="566"/>
      <c r="R340" s="247"/>
      <c r="S340" s="247"/>
    </row>
    <row r="341" spans="1:19" ht="13.5" thickBot="1">
      <c r="A341" s="163"/>
      <c r="B341" s="345"/>
      <c r="C341" s="346"/>
      <c r="D341" s="346"/>
      <c r="E341" s="346"/>
      <c r="F341" s="346"/>
      <c r="G341" s="346"/>
      <c r="H341" s="164"/>
      <c r="I341" s="347">
        <v>602.58000000000004</v>
      </c>
      <c r="J341" s="348" t="s">
        <v>221</v>
      </c>
      <c r="K341" s="374"/>
      <c r="L341" s="510"/>
      <c r="M341" s="140">
        <v>100000</v>
      </c>
      <c r="N341" s="140">
        <v>100000</v>
      </c>
      <c r="O341" s="573"/>
    </row>
    <row r="342" spans="1:19" ht="13.5" thickBot="1">
      <c r="A342" s="163"/>
      <c r="B342" s="320"/>
      <c r="C342" s="321"/>
      <c r="D342" s="321"/>
      <c r="E342" s="321"/>
      <c r="F342" s="321"/>
      <c r="G342" s="321"/>
      <c r="H342" s="322"/>
      <c r="I342" s="323">
        <v>602.6</v>
      </c>
      <c r="J342" s="324" t="s">
        <v>222</v>
      </c>
      <c r="K342" s="376">
        <f>SUM(K343+K344+K345+K346+K347)</f>
        <v>0</v>
      </c>
      <c r="L342" s="511">
        <f>SUM(L343+L344+L345+L346+L347)</f>
        <v>0</v>
      </c>
      <c r="M342" s="485">
        <f>SUM(M343+M344+M345+M346+M347)</f>
        <v>0</v>
      </c>
      <c r="N342" s="556"/>
      <c r="O342" s="569"/>
    </row>
    <row r="343" spans="1:19">
      <c r="A343" s="163"/>
      <c r="B343" s="352"/>
      <c r="C343" s="353"/>
      <c r="D343" s="353"/>
      <c r="E343" s="353"/>
      <c r="F343" s="353"/>
      <c r="G343" s="353"/>
      <c r="H343" s="354"/>
      <c r="I343" s="360">
        <v>602.61</v>
      </c>
      <c r="J343" s="361" t="s">
        <v>223</v>
      </c>
      <c r="K343" s="364"/>
      <c r="L343" s="506"/>
      <c r="M343" s="481"/>
      <c r="N343" s="552"/>
      <c r="O343" s="566"/>
    </row>
    <row r="344" spans="1:19">
      <c r="A344" s="163"/>
      <c r="B344" s="339"/>
      <c r="C344" s="340"/>
      <c r="D344" s="340"/>
      <c r="E344" s="340"/>
      <c r="F344" s="340"/>
      <c r="G344" s="340"/>
      <c r="H344" s="150"/>
      <c r="I344" s="341">
        <v>602.62</v>
      </c>
      <c r="J344" s="342" t="s">
        <v>224</v>
      </c>
      <c r="K344" s="365"/>
      <c r="L344" s="507"/>
      <c r="M344" s="482"/>
      <c r="N344" s="553"/>
      <c r="O344" s="566"/>
    </row>
    <row r="345" spans="1:19">
      <c r="A345" s="163"/>
      <c r="B345" s="339"/>
      <c r="C345" s="340"/>
      <c r="D345" s="340"/>
      <c r="E345" s="340"/>
      <c r="F345" s="340"/>
      <c r="G345" s="340"/>
      <c r="H345" s="150"/>
      <c r="I345" s="341">
        <v>602.63</v>
      </c>
      <c r="J345" s="342" t="s">
        <v>225</v>
      </c>
      <c r="K345" s="365"/>
      <c r="L345" s="507"/>
      <c r="M345" s="482"/>
      <c r="N345" s="553"/>
      <c r="O345" s="566"/>
    </row>
    <row r="346" spans="1:19">
      <c r="A346" s="163"/>
      <c r="B346" s="339"/>
      <c r="C346" s="340"/>
      <c r="D346" s="340"/>
      <c r="E346" s="340"/>
      <c r="F346" s="340"/>
      <c r="G346" s="340"/>
      <c r="H346" s="150"/>
      <c r="I346" s="341">
        <v>602.64</v>
      </c>
      <c r="J346" s="342" t="s">
        <v>226</v>
      </c>
      <c r="K346" s="365"/>
      <c r="L346" s="507"/>
      <c r="M346" s="482"/>
      <c r="N346" s="553"/>
      <c r="O346" s="566"/>
    </row>
    <row r="347" spans="1:19" ht="13.5" thickBot="1">
      <c r="A347" s="163"/>
      <c r="B347" s="345"/>
      <c r="C347" s="346"/>
      <c r="D347" s="346"/>
      <c r="E347" s="346"/>
      <c r="F347" s="346"/>
      <c r="G347" s="346"/>
      <c r="H347" s="164"/>
      <c r="I347" s="347">
        <v>602.69000000000005</v>
      </c>
      <c r="J347" s="348" t="s">
        <v>227</v>
      </c>
      <c r="K347" s="374"/>
      <c r="L347" s="510"/>
      <c r="M347" s="486"/>
      <c r="N347" s="557"/>
      <c r="O347" s="566"/>
    </row>
    <row r="348" spans="1:19" ht="13.5" thickBot="1">
      <c r="A348" s="163"/>
      <c r="B348" s="320"/>
      <c r="C348" s="321"/>
      <c r="D348" s="321"/>
      <c r="E348" s="321"/>
      <c r="F348" s="321"/>
      <c r="G348" s="321"/>
      <c r="H348" s="322"/>
      <c r="I348" s="377">
        <v>602.70000000000005</v>
      </c>
      <c r="J348" s="324" t="s">
        <v>228</v>
      </c>
      <c r="K348" s="376">
        <f>SUM(K349+K350+K351+K352+K353+K354)</f>
        <v>0</v>
      </c>
      <c r="L348" s="511">
        <f>SUM(L349+L350+L351+L352+L353+L354)</f>
        <v>0</v>
      </c>
      <c r="M348" s="485">
        <f>SUM(M349+M350+M351+M352+M353+M354)</f>
        <v>71000</v>
      </c>
      <c r="N348" s="485">
        <f>SUM(N349+N350+N351+N352+N353+N354)</f>
        <v>61000</v>
      </c>
      <c r="O348" s="485"/>
    </row>
    <row r="349" spans="1:19">
      <c r="A349" s="163"/>
      <c r="B349" s="352"/>
      <c r="C349" s="353"/>
      <c r="D349" s="353"/>
      <c r="E349" s="353"/>
      <c r="F349" s="353"/>
      <c r="G349" s="353"/>
      <c r="H349" s="354"/>
      <c r="I349" s="360">
        <v>602.71</v>
      </c>
      <c r="J349" s="361" t="s">
        <v>229</v>
      </c>
      <c r="K349" s="364"/>
      <c r="L349" s="506"/>
      <c r="M349" s="481"/>
      <c r="N349" s="552"/>
      <c r="O349" s="566"/>
    </row>
    <row r="350" spans="1:19">
      <c r="A350" s="163"/>
      <c r="B350" s="339"/>
      <c r="C350" s="340"/>
      <c r="D350" s="340"/>
      <c r="E350" s="340"/>
      <c r="F350" s="340"/>
      <c r="G350" s="340"/>
      <c r="H350" s="150"/>
      <c r="I350" s="341">
        <v>602.72</v>
      </c>
      <c r="J350" s="342" t="s">
        <v>230</v>
      </c>
      <c r="K350" s="365"/>
      <c r="L350" s="507"/>
      <c r="M350" s="482"/>
      <c r="N350" s="553"/>
      <c r="O350" s="566"/>
    </row>
    <row r="351" spans="1:19">
      <c r="A351" s="163"/>
      <c r="B351" s="339"/>
      <c r="C351" s="340"/>
      <c r="D351" s="340"/>
      <c r="E351" s="340"/>
      <c r="F351" s="340"/>
      <c r="G351" s="340"/>
      <c r="H351" s="150"/>
      <c r="I351" s="341">
        <v>602.73</v>
      </c>
      <c r="J351" s="342" t="s">
        <v>231</v>
      </c>
      <c r="K351" s="365"/>
      <c r="L351" s="366"/>
      <c r="M351" s="482"/>
      <c r="N351" s="553"/>
      <c r="O351" s="566"/>
    </row>
    <row r="352" spans="1:19">
      <c r="A352" s="163"/>
      <c r="B352" s="339"/>
      <c r="C352" s="340"/>
      <c r="D352" s="340"/>
      <c r="E352" s="340"/>
      <c r="F352" s="340"/>
      <c r="G352" s="340"/>
      <c r="H352" s="150"/>
      <c r="I352" s="341">
        <v>602.74</v>
      </c>
      <c r="J352" s="342" t="s">
        <v>232</v>
      </c>
      <c r="K352" s="365"/>
      <c r="L352" s="366"/>
      <c r="M352" s="482">
        <f>71000</f>
        <v>71000</v>
      </c>
      <c r="N352" s="482">
        <f>71000-10000</f>
        <v>61000</v>
      </c>
      <c r="O352" s="566"/>
    </row>
    <row r="353" spans="1:15">
      <c r="A353" s="163"/>
      <c r="B353" s="339"/>
      <c r="C353" s="340"/>
      <c r="D353" s="340"/>
      <c r="E353" s="340"/>
      <c r="F353" s="340"/>
      <c r="G353" s="340"/>
      <c r="H353" s="150"/>
      <c r="I353" s="341">
        <v>602.75</v>
      </c>
      <c r="J353" s="342" t="s">
        <v>233</v>
      </c>
      <c r="K353" s="365"/>
      <c r="L353" s="366"/>
      <c r="M353" s="482"/>
      <c r="N353" s="553"/>
      <c r="O353" s="566"/>
    </row>
    <row r="354" spans="1:15" ht="13.5" thickBot="1">
      <c r="A354" s="163"/>
      <c r="B354" s="345"/>
      <c r="C354" s="346"/>
      <c r="D354" s="346"/>
      <c r="E354" s="346"/>
      <c r="F354" s="346"/>
      <c r="G354" s="346"/>
      <c r="H354" s="164"/>
      <c r="I354" s="347">
        <v>602.79</v>
      </c>
      <c r="J354" s="348" t="s">
        <v>234</v>
      </c>
      <c r="K354" s="374"/>
      <c r="L354" s="375"/>
      <c r="M354" s="486"/>
      <c r="N354" s="557"/>
      <c r="O354" s="566"/>
    </row>
    <row r="355" spans="1:15" ht="13.5" thickBot="1">
      <c r="A355" s="163"/>
      <c r="B355" s="320"/>
      <c r="C355" s="321"/>
      <c r="D355" s="321"/>
      <c r="E355" s="321"/>
      <c r="F355" s="321"/>
      <c r="G355" s="321"/>
      <c r="H355" s="322"/>
      <c r="I355" s="377">
        <v>602.79999999999995</v>
      </c>
      <c r="J355" s="324" t="s">
        <v>235</v>
      </c>
      <c r="K355" s="376">
        <f>SUM(K356+K357)</f>
        <v>0</v>
      </c>
      <c r="L355" s="376">
        <f>SUM(L356+L357)</f>
        <v>0</v>
      </c>
      <c r="M355" s="485">
        <f>SUM(M356+M357)</f>
        <v>0</v>
      </c>
      <c r="N355" s="556"/>
      <c r="O355" s="485"/>
    </row>
    <row r="356" spans="1:15">
      <c r="A356" s="163"/>
      <c r="B356" s="352"/>
      <c r="C356" s="353"/>
      <c r="D356" s="353"/>
      <c r="E356" s="353"/>
      <c r="F356" s="353"/>
      <c r="G356" s="353"/>
      <c r="H356" s="354"/>
      <c r="I356" s="360">
        <v>602.80999999999995</v>
      </c>
      <c r="J356" s="361" t="s">
        <v>236</v>
      </c>
      <c r="K356" s="357"/>
      <c r="L356" s="362"/>
      <c r="M356" s="473"/>
      <c r="N356" s="542"/>
      <c r="O356" s="565"/>
    </row>
    <row r="357" spans="1:15" ht="13.5" thickBot="1">
      <c r="A357" s="163"/>
      <c r="B357" s="345"/>
      <c r="C357" s="346"/>
      <c r="D357" s="346"/>
      <c r="E357" s="346"/>
      <c r="F357" s="346"/>
      <c r="G357" s="346"/>
      <c r="H357" s="164"/>
      <c r="I357" s="347">
        <v>602.82000000000005</v>
      </c>
      <c r="J357" s="348" t="s">
        <v>237</v>
      </c>
      <c r="K357" s="349"/>
      <c r="L357" s="350"/>
      <c r="M357" s="471"/>
      <c r="N357" s="540"/>
      <c r="O357" s="565"/>
    </row>
    <row r="358" spans="1:15" ht="13.5" thickBot="1">
      <c r="A358" s="163"/>
      <c r="B358" s="320"/>
      <c r="C358" s="321"/>
      <c r="D358" s="321"/>
      <c r="E358" s="321"/>
      <c r="F358" s="321"/>
      <c r="G358" s="321"/>
      <c r="H358" s="322"/>
      <c r="I358" s="323">
        <v>602.9</v>
      </c>
      <c r="J358" s="324" t="s">
        <v>39</v>
      </c>
      <c r="K358" s="376">
        <f>SUM(K359+K360+K361+K362+K363+K364+K365+K366+K367)</f>
        <v>0</v>
      </c>
      <c r="L358" s="376">
        <f>SUM(L359+L360+L361+L362+L363+L364+L365+L366+L367)</f>
        <v>0</v>
      </c>
      <c r="M358" s="485">
        <f>SUM(M359+M360+M361+M362+M363+M364+M365+M366+M367)</f>
        <v>705936</v>
      </c>
      <c r="N358" s="485">
        <f>SUM(N359+N360+N361+N362+N363+N364+N365+N366+N367)</f>
        <v>705936</v>
      </c>
      <c r="O358" s="485">
        <f>SUM(M358:N358)</f>
        <v>1411872</v>
      </c>
    </row>
    <row r="359" spans="1:15" ht="12" customHeight="1">
      <c r="A359" s="163"/>
      <c r="B359" s="332"/>
      <c r="C359" s="333"/>
      <c r="D359" s="333"/>
      <c r="E359" s="333"/>
      <c r="F359" s="333"/>
      <c r="G359" s="333"/>
      <c r="H359" s="334"/>
      <c r="I359" s="335">
        <v>602.90009999999995</v>
      </c>
      <c r="J359" s="336" t="s">
        <v>238</v>
      </c>
      <c r="K359" s="338"/>
      <c r="L359" s="338"/>
      <c r="M359" s="487"/>
      <c r="N359" s="558"/>
      <c r="O359" s="567"/>
    </row>
    <row r="360" spans="1:15" ht="12" customHeight="1">
      <c r="A360" s="163"/>
      <c r="B360" s="339"/>
      <c r="C360" s="340"/>
      <c r="D360" s="340"/>
      <c r="E360" s="340"/>
      <c r="F360" s="340"/>
      <c r="G360" s="340"/>
      <c r="H360" s="150"/>
      <c r="I360" s="341">
        <v>602.90020000000004</v>
      </c>
      <c r="J360" s="342" t="s">
        <v>248</v>
      </c>
      <c r="K360" s="344"/>
      <c r="L360" s="344"/>
      <c r="M360" s="474"/>
      <c r="N360" s="543"/>
      <c r="O360" s="567"/>
    </row>
    <row r="361" spans="1:15" ht="12" customHeight="1">
      <c r="A361" s="163"/>
      <c r="B361" s="339"/>
      <c r="C361" s="340"/>
      <c r="D361" s="340"/>
      <c r="E361" s="340"/>
      <c r="F361" s="340"/>
      <c r="G361" s="340"/>
      <c r="H361" s="150"/>
      <c r="I361" s="341">
        <v>602.90030000000002</v>
      </c>
      <c r="J361" s="342" t="s">
        <v>239</v>
      </c>
      <c r="K361" s="344"/>
      <c r="L361" s="344"/>
      <c r="M361" s="474"/>
      <c r="N361" s="543"/>
      <c r="O361" s="567"/>
    </row>
    <row r="362" spans="1:15" ht="12" customHeight="1">
      <c r="A362" s="163"/>
      <c r="B362" s="339"/>
      <c r="C362" s="340"/>
      <c r="D362" s="340"/>
      <c r="E362" s="340"/>
      <c r="F362" s="340"/>
      <c r="G362" s="340"/>
      <c r="H362" s="150"/>
      <c r="I362" s="341">
        <v>602.90039999999999</v>
      </c>
      <c r="J362" s="342" t="s">
        <v>240</v>
      </c>
      <c r="K362" s="344"/>
      <c r="L362" s="344"/>
      <c r="M362" s="474"/>
      <c r="N362" s="543"/>
      <c r="O362" s="567"/>
    </row>
    <row r="363" spans="1:15" ht="12" customHeight="1">
      <c r="A363" s="163"/>
      <c r="B363" s="339"/>
      <c r="C363" s="340"/>
      <c r="D363" s="340"/>
      <c r="E363" s="340"/>
      <c r="F363" s="340"/>
      <c r="G363" s="340"/>
      <c r="H363" s="150"/>
      <c r="I363" s="341">
        <v>602.90049999999997</v>
      </c>
      <c r="J363" s="342" t="s">
        <v>241</v>
      </c>
      <c r="K363" s="344"/>
      <c r="L363" s="344"/>
      <c r="M363" s="474">
        <v>705936</v>
      </c>
      <c r="N363" s="474">
        <v>705936</v>
      </c>
      <c r="O363" s="567"/>
    </row>
    <row r="364" spans="1:15" ht="12" customHeight="1">
      <c r="A364" s="163"/>
      <c r="B364" s="339"/>
      <c r="C364" s="340"/>
      <c r="D364" s="340"/>
      <c r="E364" s="340"/>
      <c r="F364" s="340"/>
      <c r="G364" s="340"/>
      <c r="H364" s="150"/>
      <c r="I364" s="341">
        <v>602.90060000000005</v>
      </c>
      <c r="J364" s="342" t="s">
        <v>242</v>
      </c>
      <c r="K364" s="344"/>
      <c r="L364" s="344"/>
      <c r="M364" s="474"/>
      <c r="N364" s="543"/>
      <c r="O364" s="567"/>
    </row>
    <row r="365" spans="1:15" ht="12" customHeight="1">
      <c r="A365" s="163"/>
      <c r="B365" s="339"/>
      <c r="C365" s="340"/>
      <c r="D365" s="340"/>
      <c r="E365" s="340"/>
      <c r="F365" s="340"/>
      <c r="G365" s="340"/>
      <c r="H365" s="150"/>
      <c r="I365" s="341">
        <v>602.90070000000003</v>
      </c>
      <c r="J365" s="342" t="s">
        <v>243</v>
      </c>
      <c r="K365" s="343"/>
      <c r="L365" s="344"/>
      <c r="M365" s="470"/>
      <c r="N365" s="539"/>
      <c r="O365" s="565"/>
    </row>
    <row r="366" spans="1:15" ht="12" customHeight="1">
      <c r="A366" s="163"/>
      <c r="B366" s="339"/>
      <c r="C366" s="340"/>
      <c r="D366" s="340"/>
      <c r="E366" s="340"/>
      <c r="F366" s="340"/>
      <c r="G366" s="340"/>
      <c r="H366" s="150"/>
      <c r="I366" s="341">
        <v>602.90080000000103</v>
      </c>
      <c r="J366" s="342" t="s">
        <v>244</v>
      </c>
      <c r="K366" s="344"/>
      <c r="L366" s="344"/>
      <c r="M366" s="474"/>
      <c r="N366" s="543"/>
      <c r="O366" s="567"/>
    </row>
    <row r="367" spans="1:15" ht="12" customHeight="1" thickBot="1">
      <c r="A367" s="163"/>
      <c r="B367" s="345"/>
      <c r="C367" s="346"/>
      <c r="D367" s="346"/>
      <c r="E367" s="346"/>
      <c r="F367" s="346"/>
      <c r="G367" s="346"/>
      <c r="H367" s="164"/>
      <c r="I367" s="347">
        <v>602.900900000001</v>
      </c>
      <c r="J367" s="348" t="s">
        <v>245</v>
      </c>
      <c r="K367" s="350"/>
      <c r="L367" s="350"/>
      <c r="M367" s="480"/>
      <c r="N367" s="551"/>
      <c r="O367" s="567"/>
    </row>
    <row r="368" spans="1:15" ht="15.75" thickBot="1">
      <c r="A368" s="163"/>
      <c r="B368" s="385"/>
      <c r="C368" s="386"/>
      <c r="D368" s="386"/>
      <c r="E368" s="386">
        <v>6</v>
      </c>
      <c r="F368" s="386"/>
      <c r="G368" s="387">
        <v>10430</v>
      </c>
      <c r="H368" s="389">
        <v>230</v>
      </c>
      <c r="I368" s="390"/>
      <c r="J368" s="391" t="s">
        <v>249</v>
      </c>
      <c r="K368" s="388"/>
      <c r="L368" s="388"/>
      <c r="M368" s="388"/>
      <c r="N368" s="559"/>
      <c r="O368" s="388"/>
    </row>
    <row r="369" spans="1:22" ht="18.75" customHeight="1">
      <c r="A369" s="163"/>
      <c r="B369" s="224"/>
      <c r="C369" s="163" t="s">
        <v>289</v>
      </c>
      <c r="D369" s="163"/>
      <c r="E369" s="163"/>
      <c r="F369" s="163"/>
      <c r="G369" s="163"/>
      <c r="H369" s="163"/>
      <c r="I369" s="163"/>
      <c r="J369" s="379"/>
      <c r="K369" s="380"/>
      <c r="L369" s="380"/>
      <c r="M369" s="488"/>
      <c r="N369" s="488"/>
      <c r="O369" s="488"/>
    </row>
    <row r="370" spans="1:22" ht="6.75" customHeight="1">
      <c r="A370" s="163"/>
      <c r="B370" s="224"/>
      <c r="C370" s="163"/>
      <c r="D370" s="163"/>
      <c r="E370" s="163"/>
      <c r="F370" s="163"/>
      <c r="G370" s="163"/>
      <c r="H370" s="163"/>
      <c r="I370" s="163"/>
      <c r="J370" s="5"/>
      <c r="K370" s="381"/>
      <c r="L370" s="381"/>
      <c r="M370" s="489"/>
      <c r="N370" s="489"/>
      <c r="O370" s="489"/>
    </row>
    <row r="371" spans="1:22" ht="15">
      <c r="A371" s="163"/>
      <c r="B371" s="224"/>
      <c r="C371" s="163" t="s">
        <v>246</v>
      </c>
      <c r="D371" s="163"/>
      <c r="E371" s="163"/>
      <c r="F371" s="163"/>
      <c r="G371" s="163"/>
      <c r="H371" s="163"/>
      <c r="I371" s="163"/>
      <c r="J371" s="379"/>
      <c r="K371" s="382"/>
      <c r="L371" s="382"/>
      <c r="M371" s="490"/>
      <c r="N371" s="490"/>
      <c r="O371" s="490"/>
    </row>
    <row r="372" spans="1:22" ht="15">
      <c r="A372" s="163"/>
      <c r="B372" s="224"/>
      <c r="C372" s="163"/>
      <c r="D372" s="383" t="s">
        <v>247</v>
      </c>
      <c r="E372" s="383"/>
      <c r="F372" s="383"/>
      <c r="G372" s="383"/>
      <c r="H372" s="163"/>
      <c r="J372" s="383"/>
      <c r="K372" s="384" t="s">
        <v>290</v>
      </c>
      <c r="L372" s="380"/>
      <c r="M372" s="488"/>
      <c r="N372" s="488"/>
      <c r="O372" s="488"/>
    </row>
    <row r="373" spans="1:22">
      <c r="A373" s="163"/>
      <c r="B373" s="224"/>
      <c r="C373" s="163"/>
      <c r="D373" s="71" t="s">
        <v>130</v>
      </c>
      <c r="E373" s="383"/>
      <c r="F373" s="383"/>
      <c r="G373" s="383"/>
      <c r="H373" s="383"/>
      <c r="I373" s="383"/>
      <c r="J373" s="383"/>
      <c r="K373" s="398" t="s">
        <v>250</v>
      </c>
      <c r="L373" s="398"/>
      <c r="M373" s="489"/>
      <c r="N373" s="489"/>
      <c r="O373" s="489"/>
      <c r="P373" s="220"/>
      <c r="Q373" s="220"/>
      <c r="R373" s="220"/>
      <c r="S373" s="220"/>
      <c r="T373" s="220"/>
      <c r="U373" s="220"/>
      <c r="V373" s="220"/>
    </row>
    <row r="377" spans="1:22">
      <c r="A377" s="163"/>
      <c r="B377" s="163"/>
      <c r="C377" s="210"/>
      <c r="D377" s="210"/>
      <c r="E377" s="210"/>
      <c r="F377" s="210"/>
      <c r="G377" s="210"/>
      <c r="H377" s="211"/>
      <c r="I377" s="211"/>
      <c r="J377" s="211"/>
      <c r="K377" s="211"/>
      <c r="L377" s="211"/>
      <c r="M377" s="212"/>
      <c r="N377" s="212"/>
      <c r="O377" s="212"/>
    </row>
    <row r="378" spans="1:22" ht="15">
      <c r="A378" s="163"/>
      <c r="B378" s="163"/>
      <c r="C378" s="210"/>
      <c r="D378" s="210"/>
      <c r="E378" s="210"/>
      <c r="F378" s="210"/>
      <c r="G378" s="210"/>
      <c r="H378" s="210"/>
      <c r="I378" s="213"/>
      <c r="J378" s="681"/>
      <c r="K378" s="215"/>
      <c r="L378" s="163"/>
      <c r="M378" s="210"/>
      <c r="N378" s="210"/>
      <c r="O378" s="210"/>
    </row>
    <row r="379" spans="1:22" ht="15">
      <c r="A379" s="394"/>
      <c r="B379" s="216"/>
      <c r="C379" s="217"/>
      <c r="D379" s="217"/>
      <c r="E379" s="218"/>
      <c r="F379" s="218"/>
      <c r="G379" s="218"/>
      <c r="H379" s="218"/>
      <c r="I379" s="218"/>
      <c r="J379" s="218"/>
      <c r="K379" s="217"/>
      <c r="L379" s="219"/>
      <c r="M379" s="452"/>
      <c r="N379" s="452"/>
      <c r="O379" s="452"/>
      <c r="P379" s="220"/>
      <c r="Q379" s="220"/>
      <c r="R379" s="220"/>
      <c r="S379" s="220"/>
    </row>
    <row r="380" spans="1:22" ht="15">
      <c r="A380" s="395"/>
      <c r="B380" s="221"/>
      <c r="C380" s="218" t="s">
        <v>133</v>
      </c>
      <c r="D380" s="218"/>
      <c r="E380" s="218"/>
      <c r="F380" s="218"/>
      <c r="G380" s="218"/>
      <c r="H380" s="218"/>
      <c r="I380" s="218"/>
      <c r="J380" s="218"/>
      <c r="K380" s="218"/>
      <c r="L380" s="222"/>
      <c r="M380" s="453"/>
      <c r="N380" s="453"/>
      <c r="O380" s="453"/>
      <c r="P380" s="223"/>
      <c r="Q380" s="223"/>
      <c r="R380" s="223"/>
      <c r="S380" s="223"/>
    </row>
    <row r="381" spans="1:22" ht="15">
      <c r="A381" s="395"/>
      <c r="B381" s="221"/>
      <c r="C381" s="218" t="s">
        <v>134</v>
      </c>
      <c r="D381" s="218"/>
      <c r="E381" s="218"/>
      <c r="F381" s="218"/>
      <c r="G381" s="218"/>
      <c r="H381" s="218"/>
      <c r="I381" s="218"/>
      <c r="J381" s="218"/>
      <c r="K381" s="218"/>
      <c r="L381" s="222"/>
      <c r="M381" s="453"/>
      <c r="N381" s="453"/>
      <c r="O381" s="453"/>
      <c r="P381" s="223"/>
      <c r="Q381" s="223"/>
      <c r="R381" s="223"/>
      <c r="S381" s="223"/>
    </row>
    <row r="382" spans="1:22" ht="15">
      <c r="A382" s="163"/>
      <c r="B382" s="224"/>
      <c r="C382" s="224"/>
      <c r="D382" s="224"/>
      <c r="E382" s="224"/>
      <c r="F382" s="224"/>
      <c r="G382" s="224"/>
      <c r="H382" s="224"/>
      <c r="I382" s="225"/>
      <c r="J382" s="392" t="s">
        <v>27</v>
      </c>
      <c r="K382" s="224"/>
      <c r="L382" s="224"/>
      <c r="M382" s="454"/>
      <c r="N382" s="454"/>
      <c r="O382" s="454"/>
    </row>
    <row r="383" spans="1:22" ht="14.25">
      <c r="A383" s="163"/>
      <c r="B383" s="163"/>
      <c r="C383" s="163"/>
      <c r="D383" s="163"/>
      <c r="E383" s="226"/>
      <c r="F383" s="226"/>
      <c r="G383" s="226"/>
      <c r="H383" s="214"/>
      <c r="I383" s="227"/>
      <c r="J383" s="228"/>
      <c r="K383" s="229"/>
      <c r="L383" s="230"/>
      <c r="M383" s="455"/>
      <c r="N383" s="455"/>
      <c r="O383" s="455"/>
    </row>
    <row r="384" spans="1:22" ht="14.25">
      <c r="A384" s="163"/>
      <c r="B384" s="163"/>
      <c r="C384" s="231"/>
      <c r="D384" s="226" t="s">
        <v>135</v>
      </c>
      <c r="E384" s="5"/>
      <c r="F384" s="163"/>
      <c r="G384" s="226"/>
      <c r="H384" s="214"/>
      <c r="I384" s="231"/>
      <c r="J384" s="232"/>
      <c r="K384" s="229" t="s">
        <v>136</v>
      </c>
      <c r="L384" s="230"/>
      <c r="M384" s="455"/>
      <c r="N384" s="455"/>
      <c r="O384" s="455"/>
    </row>
    <row r="385" spans="1:19" ht="14.25">
      <c r="A385" s="163"/>
      <c r="B385" s="163"/>
      <c r="C385" s="231"/>
      <c r="D385" s="226"/>
      <c r="E385" s="163"/>
      <c r="F385" s="163"/>
      <c r="G385" s="226"/>
      <c r="H385" s="214"/>
      <c r="I385" s="231"/>
      <c r="J385" s="232"/>
      <c r="K385" s="229"/>
      <c r="L385" s="230"/>
      <c r="M385" s="455"/>
      <c r="N385" s="455"/>
      <c r="O385" s="455"/>
    </row>
    <row r="386" spans="1:19" ht="14.25">
      <c r="A386" s="163"/>
      <c r="B386" s="233"/>
      <c r="C386" s="233"/>
      <c r="D386" s="237"/>
      <c r="E386" s="233"/>
      <c r="F386" s="233"/>
      <c r="G386" s="234"/>
      <c r="H386" s="235"/>
      <c r="I386" s="233"/>
      <c r="J386" s="236" t="s">
        <v>252</v>
      </c>
      <c r="K386" s="238"/>
      <c r="L386" s="238"/>
      <c r="M386" s="456"/>
      <c r="N386" s="456"/>
      <c r="O386" s="456"/>
    </row>
    <row r="387" spans="1:19" ht="16.5" thickBot="1">
      <c r="A387" s="163"/>
      <c r="B387" s="239"/>
      <c r="C387" s="233"/>
      <c r="D387" s="233"/>
      <c r="E387" s="235"/>
      <c r="F387" s="235"/>
      <c r="G387" s="235"/>
      <c r="H387" s="235"/>
      <c r="I387" s="235"/>
      <c r="J387" s="393" t="s">
        <v>294</v>
      </c>
      <c r="K387" s="240"/>
      <c r="L387" s="451">
        <v>2012</v>
      </c>
      <c r="M387" s="457"/>
      <c r="N387" s="457"/>
      <c r="O387" s="457"/>
    </row>
    <row r="388" spans="1:19" ht="93" thickBot="1">
      <c r="A388" s="396"/>
      <c r="B388" s="241" t="s">
        <v>137</v>
      </c>
      <c r="C388" s="242" t="s">
        <v>138</v>
      </c>
      <c r="D388" s="241" t="s">
        <v>139</v>
      </c>
      <c r="E388" s="241" t="s">
        <v>140</v>
      </c>
      <c r="F388" s="241" t="s">
        <v>141</v>
      </c>
      <c r="G388" s="241" t="s">
        <v>142</v>
      </c>
      <c r="H388" s="243" t="s">
        <v>126</v>
      </c>
      <c r="I388" s="241" t="s">
        <v>143</v>
      </c>
      <c r="J388" s="244" t="s">
        <v>144</v>
      </c>
      <c r="K388" s="245" t="s">
        <v>145</v>
      </c>
      <c r="L388" s="246" t="s">
        <v>146</v>
      </c>
      <c r="M388" s="458" t="s">
        <v>292</v>
      </c>
      <c r="N388" s="458" t="s">
        <v>293</v>
      </c>
      <c r="O388" s="560"/>
      <c r="P388" s="247"/>
      <c r="Q388" s="247"/>
      <c r="R388" s="247"/>
      <c r="S388" s="247"/>
    </row>
    <row r="389" spans="1:19" ht="18.75" thickBot="1">
      <c r="A389" s="396"/>
      <c r="B389" s="248" t="s">
        <v>148</v>
      </c>
      <c r="C389" s="249">
        <v>25</v>
      </c>
      <c r="D389" s="517" t="s">
        <v>267</v>
      </c>
      <c r="E389" s="250">
        <v>1</v>
      </c>
      <c r="F389" s="250">
        <v>1111</v>
      </c>
      <c r="G389" s="250">
        <v>10430</v>
      </c>
      <c r="H389" s="251"/>
      <c r="I389" s="252"/>
      <c r="J389" s="253" t="s">
        <v>149</v>
      </c>
      <c r="K389" s="254">
        <f>SUM(K390+K391+K392+K393)</f>
        <v>0</v>
      </c>
      <c r="L389" s="254">
        <f>SUM(L390+L391+L392+L393)</f>
        <v>0</v>
      </c>
      <c r="M389" s="459">
        <f>SUM(M390+M391+M392+M393)</f>
        <v>0</v>
      </c>
      <c r="N389" s="525"/>
      <c r="O389" s="459"/>
      <c r="P389" s="247"/>
      <c r="Q389" s="247"/>
      <c r="R389" s="247"/>
      <c r="S389" s="247"/>
    </row>
    <row r="390" spans="1:19" ht="15.75">
      <c r="A390" s="396"/>
      <c r="B390" s="255"/>
      <c r="C390" s="256"/>
      <c r="D390" s="256"/>
      <c r="E390" s="256">
        <v>1</v>
      </c>
      <c r="F390" s="256"/>
      <c r="G390" s="256"/>
      <c r="H390" s="257"/>
      <c r="I390" s="258"/>
      <c r="J390" s="259" t="s">
        <v>150</v>
      </c>
      <c r="K390" s="260"/>
      <c r="L390" s="261"/>
      <c r="M390" s="460"/>
      <c r="N390" s="526"/>
      <c r="O390" s="676"/>
      <c r="P390" s="197">
        <v>42579</v>
      </c>
      <c r="Q390" s="181">
        <v>17206</v>
      </c>
      <c r="R390" s="247"/>
      <c r="S390" s="247"/>
    </row>
    <row r="391" spans="1:19" ht="15.75">
      <c r="A391" s="396"/>
      <c r="B391" s="262"/>
      <c r="C391" s="263"/>
      <c r="D391" s="263"/>
      <c r="E391" s="263">
        <v>5</v>
      </c>
      <c r="F391" s="263"/>
      <c r="G391" s="263"/>
      <c r="H391" s="264"/>
      <c r="I391" s="265"/>
      <c r="J391" s="266" t="s">
        <v>151</v>
      </c>
      <c r="K391" s="267"/>
      <c r="L391" s="268"/>
      <c r="M391" s="461"/>
      <c r="N391" s="527"/>
      <c r="O391" s="676"/>
      <c r="P391" s="197">
        <v>8170</v>
      </c>
      <c r="Q391" s="181">
        <v>2042.5</v>
      </c>
      <c r="R391" s="247"/>
      <c r="S391" s="247"/>
    </row>
    <row r="392" spans="1:19" ht="15.75">
      <c r="A392" s="396"/>
      <c r="B392" s="262"/>
      <c r="C392" s="263"/>
      <c r="D392" s="263"/>
      <c r="E392" s="263">
        <v>5</v>
      </c>
      <c r="F392" s="263"/>
      <c r="G392" s="263"/>
      <c r="H392" s="264"/>
      <c r="I392" s="265"/>
      <c r="J392" s="266" t="s">
        <v>254</v>
      </c>
      <c r="K392" s="267"/>
      <c r="L392" s="268"/>
      <c r="M392" s="461"/>
      <c r="N392" s="527"/>
      <c r="O392" s="676"/>
      <c r="P392" s="197">
        <v>50749</v>
      </c>
      <c r="Q392" s="181">
        <v>19248.5</v>
      </c>
      <c r="R392" s="247"/>
      <c r="S392" s="247"/>
    </row>
    <row r="393" spans="1:19" ht="16.5" thickBot="1">
      <c r="A393" s="396"/>
      <c r="B393" s="269"/>
      <c r="C393" s="270"/>
      <c r="D393" s="270"/>
      <c r="E393" s="270">
        <v>6</v>
      </c>
      <c r="F393" s="270"/>
      <c r="G393" s="270"/>
      <c r="H393" s="271"/>
      <c r="I393" s="272"/>
      <c r="J393" s="273" t="s">
        <v>152</v>
      </c>
      <c r="K393" s="274"/>
      <c r="L393" s="275"/>
      <c r="M393" s="462"/>
      <c r="N393" s="528"/>
      <c r="O393" s="676"/>
      <c r="P393" s="678">
        <v>17700</v>
      </c>
      <c r="Q393" s="181">
        <v>7800</v>
      </c>
      <c r="R393" s="247"/>
      <c r="S393" s="247"/>
    </row>
    <row r="394" spans="1:19" ht="16.5" thickBot="1">
      <c r="A394" s="396"/>
      <c r="B394" s="276"/>
      <c r="C394" s="277"/>
      <c r="D394" s="277"/>
      <c r="E394" s="277"/>
      <c r="F394" s="277"/>
      <c r="G394" s="277"/>
      <c r="H394" s="277"/>
      <c r="I394" s="278"/>
      <c r="J394" s="279" t="s">
        <v>153</v>
      </c>
      <c r="K394" s="574">
        <f>SUM(K395+K410+K413+K492)</f>
        <v>68449</v>
      </c>
      <c r="L394" s="574">
        <f>SUM(L395+L410+L413+L492)</f>
        <v>27049</v>
      </c>
      <c r="M394" s="574">
        <f>SUM(M395+M410+M413+M492)</f>
        <v>19089733</v>
      </c>
      <c r="N394" s="574">
        <f>SUM(N395+N410+N413+N492)</f>
        <v>18519847</v>
      </c>
      <c r="O394" s="677"/>
      <c r="P394" s="679">
        <v>68449</v>
      </c>
      <c r="Q394" s="181">
        <v>27048.5</v>
      </c>
      <c r="R394" s="247"/>
      <c r="S394" s="247"/>
    </row>
    <row r="395" spans="1:19" ht="13.5" thickBot="1">
      <c r="A395" s="383"/>
      <c r="B395" s="280"/>
      <c r="C395" s="281"/>
      <c r="D395" s="281"/>
      <c r="E395" s="281"/>
      <c r="F395" s="281"/>
      <c r="G395" s="281"/>
      <c r="H395" s="282">
        <v>600</v>
      </c>
      <c r="I395" s="283"/>
      <c r="J395" s="284" t="s">
        <v>154</v>
      </c>
      <c r="K395" s="285">
        <f>SUM(K396+K397+K398+K399+K400+K401+K402+K403+K404+K405+K406+K407+K408+K409)</f>
        <v>42579</v>
      </c>
      <c r="L395" s="491">
        <f>SUM(L396+L397+L398+L399+L400+L401+L402+L403+L404+L405+L406+L407+L408+L409)</f>
        <v>17206</v>
      </c>
      <c r="M395" s="285">
        <f>M396+M406+M409</f>
        <v>9720307</v>
      </c>
      <c r="N395" s="285">
        <f>N396+N406+N409</f>
        <v>9720307</v>
      </c>
      <c r="O395" s="285">
        <f>O396+O406+O409</f>
        <v>0</v>
      </c>
      <c r="P395" s="247"/>
      <c r="Q395" s="247"/>
      <c r="R395" s="247"/>
      <c r="S395" s="247"/>
    </row>
    <row r="396" spans="1:19">
      <c r="A396" s="396"/>
      <c r="B396" s="287"/>
      <c r="C396" s="288"/>
      <c r="D396" s="288"/>
      <c r="E396" s="288"/>
      <c r="F396" s="288"/>
      <c r="G396" s="288"/>
      <c r="H396" s="289"/>
      <c r="I396" s="290">
        <v>600.1</v>
      </c>
      <c r="J396" s="291" t="s">
        <v>155</v>
      </c>
      <c r="K396" s="522">
        <v>42579</v>
      </c>
      <c r="L396" s="477">
        <v>17206</v>
      </c>
      <c r="M396" s="463">
        <f>SUM(M397:M401)</f>
        <v>9720307</v>
      </c>
      <c r="N396" s="463">
        <f>SUM(N397:N401)</f>
        <v>9720307</v>
      </c>
      <c r="O396" s="562"/>
      <c r="P396" s="298"/>
      <c r="Q396" s="247"/>
      <c r="R396" s="247"/>
      <c r="S396" s="247"/>
    </row>
    <row r="397" spans="1:19">
      <c r="A397" s="396"/>
      <c r="B397" s="292"/>
      <c r="C397" s="293"/>
      <c r="D397" s="293"/>
      <c r="E397" s="293"/>
      <c r="F397" s="293"/>
      <c r="G397" s="293"/>
      <c r="H397" s="294"/>
      <c r="I397" s="295">
        <v>600.1001</v>
      </c>
      <c r="J397" s="296" t="s">
        <v>156</v>
      </c>
      <c r="K397" s="297"/>
      <c r="L397" s="492"/>
      <c r="M397" s="464">
        <f>666929+685500+672810</f>
        <v>2025239</v>
      </c>
      <c r="N397" s="464">
        <f>666929+685500+672810</f>
        <v>2025239</v>
      </c>
      <c r="O397" s="562"/>
      <c r="P397" s="298">
        <v>9720307</v>
      </c>
      <c r="Q397" s="247"/>
      <c r="R397" s="247"/>
      <c r="S397" s="247"/>
    </row>
    <row r="398" spans="1:19">
      <c r="A398" s="396"/>
      <c r="B398" s="292"/>
      <c r="C398" s="293"/>
      <c r="D398" s="293"/>
      <c r="E398" s="293"/>
      <c r="F398" s="293"/>
      <c r="G398" s="293"/>
      <c r="H398" s="294"/>
      <c r="I398" s="295">
        <v>600.10019999999997</v>
      </c>
      <c r="J398" s="296" t="s">
        <v>157</v>
      </c>
      <c r="K398" s="297"/>
      <c r="L398" s="492"/>
      <c r="M398" s="464">
        <v>25320</v>
      </c>
      <c r="N398" s="464">
        <v>25320</v>
      </c>
      <c r="O398" s="562"/>
      <c r="P398" s="298">
        <f>P397-M396</f>
        <v>0</v>
      </c>
      <c r="Q398" s="247"/>
      <c r="R398" s="247"/>
      <c r="S398" s="247"/>
    </row>
    <row r="399" spans="1:19">
      <c r="A399" s="396"/>
      <c r="B399" s="292"/>
      <c r="C399" s="293"/>
      <c r="D399" s="293"/>
      <c r="E399" s="293"/>
      <c r="F399" s="293"/>
      <c r="G399" s="293"/>
      <c r="H399" s="294"/>
      <c r="I399" s="295">
        <v>600.10029999999995</v>
      </c>
      <c r="J399" s="296" t="s">
        <v>158</v>
      </c>
      <c r="K399" s="297"/>
      <c r="L399" s="492"/>
      <c r="M399" s="464">
        <f>181456+182313+181941</f>
        <v>545710</v>
      </c>
      <c r="N399" s="464">
        <f>181456+182313+181941</f>
        <v>545710</v>
      </c>
      <c r="O399" s="562"/>
      <c r="P399" s="298"/>
      <c r="Q399" s="247"/>
      <c r="R399" s="247"/>
      <c r="S399" s="247"/>
    </row>
    <row r="400" spans="1:19">
      <c r="A400" s="396"/>
      <c r="B400" s="292"/>
      <c r="C400" s="293"/>
      <c r="D400" s="293"/>
      <c r="E400" s="293"/>
      <c r="F400" s="293"/>
      <c r="G400" s="293"/>
      <c r="H400" s="294"/>
      <c r="I400" s="295">
        <v>600.10050000000001</v>
      </c>
      <c r="J400" s="296" t="s">
        <v>159</v>
      </c>
      <c r="K400" s="297"/>
      <c r="L400" s="492"/>
      <c r="M400" s="464">
        <f>2444319+2246700+2203845</f>
        <v>6894864</v>
      </c>
      <c r="N400" s="464">
        <f>2444319+2246700+2203845</f>
        <v>6894864</v>
      </c>
      <c r="O400" s="562"/>
      <c r="P400" s="298"/>
      <c r="Q400" s="247"/>
      <c r="R400" s="247"/>
      <c r="S400" s="247"/>
    </row>
    <row r="401" spans="1:19">
      <c r="A401" s="396"/>
      <c r="B401" s="292"/>
      <c r="C401" s="293"/>
      <c r="D401" s="293"/>
      <c r="E401" s="293"/>
      <c r="F401" s="293"/>
      <c r="G401" s="293"/>
      <c r="H401" s="294"/>
      <c r="I401" s="295"/>
      <c r="J401" s="296" t="s">
        <v>160</v>
      </c>
      <c r="K401" s="297"/>
      <c r="L401" s="492"/>
      <c r="M401" s="464">
        <f>12925+12925+12925+78398+112001</f>
        <v>229174</v>
      </c>
      <c r="N401" s="464">
        <f>12925+12925+12925+78398+112001</f>
        <v>229174</v>
      </c>
      <c r="O401" s="562"/>
      <c r="P401" s="247"/>
      <c r="Q401" s="247"/>
      <c r="R401" s="247"/>
      <c r="S401" s="247"/>
    </row>
    <row r="402" spans="1:19">
      <c r="A402" s="396"/>
      <c r="B402" s="299"/>
      <c r="C402" s="293"/>
      <c r="D402" s="293"/>
      <c r="E402" s="293"/>
      <c r="F402" s="293"/>
      <c r="G402" s="293"/>
      <c r="H402" s="294"/>
      <c r="I402" s="295">
        <v>600.20000000000005</v>
      </c>
      <c r="J402" s="296" t="s">
        <v>161</v>
      </c>
      <c r="K402" s="297"/>
      <c r="L402" s="492"/>
      <c r="M402" s="464"/>
      <c r="N402" s="531"/>
      <c r="O402" s="562"/>
      <c r="P402" s="247"/>
      <c r="Q402" s="247"/>
      <c r="R402" s="247"/>
      <c r="S402" s="247"/>
    </row>
    <row r="403" spans="1:19">
      <c r="A403" s="396"/>
      <c r="B403" s="299"/>
      <c r="C403" s="293"/>
      <c r="D403" s="293"/>
      <c r="E403" s="293"/>
      <c r="F403" s="293"/>
      <c r="G403" s="293"/>
      <c r="H403" s="294"/>
      <c r="I403" s="295">
        <v>600.21</v>
      </c>
      <c r="J403" s="296" t="s">
        <v>162</v>
      </c>
      <c r="K403" s="297"/>
      <c r="L403" s="492"/>
      <c r="M403" s="464"/>
      <c r="N403" s="531"/>
      <c r="O403" s="562"/>
      <c r="P403" s="298"/>
      <c r="Q403" s="247"/>
      <c r="R403" s="247"/>
      <c r="S403" s="247"/>
    </row>
    <row r="404" spans="1:19">
      <c r="A404" s="396"/>
      <c r="B404" s="299"/>
      <c r="C404" s="293"/>
      <c r="D404" s="293"/>
      <c r="E404" s="293"/>
      <c r="F404" s="293"/>
      <c r="G404" s="293"/>
      <c r="H404" s="294"/>
      <c r="I404" s="295">
        <v>600.22</v>
      </c>
      <c r="J404" s="296" t="s">
        <v>163</v>
      </c>
      <c r="K404" s="297"/>
      <c r="L404" s="492"/>
      <c r="M404" s="464"/>
      <c r="N404" s="531"/>
      <c r="O404" s="562"/>
      <c r="P404" s="247"/>
      <c r="Q404" s="247"/>
      <c r="R404" s="247"/>
      <c r="S404" s="247"/>
    </row>
    <row r="405" spans="1:19">
      <c r="A405" s="396"/>
      <c r="B405" s="299"/>
      <c r="C405" s="293"/>
      <c r="D405" s="293"/>
      <c r="E405" s="293"/>
      <c r="F405" s="293"/>
      <c r="G405" s="293"/>
      <c r="H405" s="294"/>
      <c r="I405" s="295">
        <v>600.29</v>
      </c>
      <c r="J405" s="296" t="s">
        <v>164</v>
      </c>
      <c r="K405" s="297"/>
      <c r="L405" s="492"/>
      <c r="M405" s="464"/>
      <c r="N405" s="531"/>
      <c r="O405" s="562"/>
      <c r="P405" s="247"/>
      <c r="Q405" s="247"/>
      <c r="R405" s="247"/>
      <c r="S405" s="247"/>
    </row>
    <row r="406" spans="1:19">
      <c r="A406" s="396"/>
      <c r="B406" s="299"/>
      <c r="C406" s="293"/>
      <c r="D406" s="293"/>
      <c r="E406" s="293"/>
      <c r="F406" s="293"/>
      <c r="G406" s="293"/>
      <c r="H406" s="294"/>
      <c r="I406" s="295">
        <v>600.29999999999995</v>
      </c>
      <c r="J406" s="296" t="s">
        <v>165</v>
      </c>
      <c r="K406" s="297"/>
      <c r="L406" s="492"/>
      <c r="M406" s="464"/>
      <c r="N406" s="531"/>
      <c r="O406" s="562"/>
      <c r="P406" s="298"/>
      <c r="Q406" s="247"/>
      <c r="R406" s="247"/>
      <c r="S406" s="247"/>
    </row>
    <row r="407" spans="1:19">
      <c r="A407" s="396"/>
      <c r="B407" s="299"/>
      <c r="C407" s="293"/>
      <c r="D407" s="293"/>
      <c r="E407" s="293"/>
      <c r="F407" s="293"/>
      <c r="G407" s="293"/>
      <c r="H407" s="294"/>
      <c r="I407" s="295">
        <v>600.30999999999995</v>
      </c>
      <c r="J407" s="296" t="s">
        <v>166</v>
      </c>
      <c r="K407" s="297"/>
      <c r="L407" s="492"/>
      <c r="M407" s="464"/>
      <c r="N407" s="531"/>
      <c r="O407" s="562"/>
      <c r="Q407" s="247"/>
      <c r="R407" s="247"/>
      <c r="S407" s="247"/>
    </row>
    <row r="408" spans="1:19">
      <c r="A408" s="396"/>
      <c r="B408" s="299"/>
      <c r="C408" s="293"/>
      <c r="D408" s="293"/>
      <c r="E408" s="293"/>
      <c r="F408" s="293"/>
      <c r="G408" s="293"/>
      <c r="H408" s="294"/>
      <c r="I408" s="295"/>
      <c r="J408" s="296" t="s">
        <v>164</v>
      </c>
      <c r="K408" s="297"/>
      <c r="L408" s="492"/>
      <c r="M408" s="465"/>
      <c r="N408" s="532"/>
      <c r="O408" s="563"/>
      <c r="P408" s="512"/>
      <c r="Q408" s="512"/>
      <c r="R408" s="513"/>
      <c r="S408" s="513"/>
    </row>
    <row r="409" spans="1:19" ht="13.5" thickBot="1">
      <c r="A409" s="396"/>
      <c r="B409" s="300"/>
      <c r="C409" s="301"/>
      <c r="D409" s="301"/>
      <c r="E409" s="301"/>
      <c r="F409" s="301"/>
      <c r="G409" s="301"/>
      <c r="H409" s="302"/>
      <c r="I409" s="303">
        <v>600.9</v>
      </c>
      <c r="J409" s="304" t="s">
        <v>167</v>
      </c>
      <c r="K409" s="305"/>
      <c r="L409" s="493"/>
      <c r="M409" s="466"/>
      <c r="N409" s="533"/>
      <c r="O409" s="563"/>
      <c r="Q409" s="247"/>
      <c r="R409" s="247"/>
      <c r="S409" s="247"/>
    </row>
    <row r="410" spans="1:19" ht="13.5" thickBot="1">
      <c r="A410" s="383"/>
      <c r="B410" s="280"/>
      <c r="C410" s="281"/>
      <c r="D410" s="281"/>
      <c r="E410" s="281"/>
      <c r="F410" s="281"/>
      <c r="G410" s="281"/>
      <c r="H410" s="282">
        <v>601</v>
      </c>
      <c r="I410" s="283"/>
      <c r="J410" s="284" t="s">
        <v>168</v>
      </c>
      <c r="K410" s="285">
        <v>8170</v>
      </c>
      <c r="L410" s="577">
        <v>2043</v>
      </c>
      <c r="M410" s="285">
        <f>SUM(M411+M412)</f>
        <v>1569976</v>
      </c>
      <c r="N410" s="285">
        <f>SUM(N411+N412)</f>
        <v>1569976</v>
      </c>
      <c r="O410" s="285"/>
      <c r="Q410" s="247"/>
      <c r="R410" s="247"/>
      <c r="S410" s="247"/>
    </row>
    <row r="411" spans="1:19">
      <c r="A411" s="396"/>
      <c r="B411" s="306"/>
      <c r="C411" s="307"/>
      <c r="D411" s="307"/>
      <c r="E411" s="307"/>
      <c r="F411" s="307"/>
      <c r="G411" s="307"/>
      <c r="H411" s="308"/>
      <c r="I411" s="309">
        <v>601.01</v>
      </c>
      <c r="J411" s="291" t="s">
        <v>169</v>
      </c>
      <c r="K411" s="310"/>
      <c r="L411" s="494"/>
      <c r="M411" s="463">
        <f>495849+459449+454858</f>
        <v>1410156</v>
      </c>
      <c r="N411" s="463">
        <f>495849+459449+454858</f>
        <v>1410156</v>
      </c>
      <c r="O411" s="562"/>
      <c r="Q411" s="247"/>
      <c r="R411" s="247"/>
      <c r="S411" s="247"/>
    </row>
    <row r="412" spans="1:19" ht="13.5" thickBot="1">
      <c r="A412" s="396"/>
      <c r="B412" s="300"/>
      <c r="C412" s="301"/>
      <c r="D412" s="301"/>
      <c r="E412" s="301"/>
      <c r="F412" s="301"/>
      <c r="G412" s="301"/>
      <c r="H412" s="302"/>
      <c r="I412" s="311">
        <v>601.11</v>
      </c>
      <c r="J412" s="304" t="s">
        <v>253</v>
      </c>
      <c r="K412" s="312"/>
      <c r="L412" s="495"/>
      <c r="M412" s="467">
        <f>56201+52070+51549</f>
        <v>159820</v>
      </c>
      <c r="N412" s="467">
        <f>56201+52070+51549</f>
        <v>159820</v>
      </c>
      <c r="O412" s="562"/>
      <c r="Q412" s="247"/>
      <c r="R412" s="247"/>
      <c r="S412" s="247"/>
    </row>
    <row r="413" spans="1:19" ht="13.5" thickBot="1">
      <c r="A413" s="397"/>
      <c r="B413" s="313"/>
      <c r="C413" s="314"/>
      <c r="D413" s="314"/>
      <c r="E413" s="314"/>
      <c r="F413" s="314"/>
      <c r="G413" s="314"/>
      <c r="H413" s="315">
        <v>602</v>
      </c>
      <c r="I413" s="316"/>
      <c r="J413" s="317" t="s">
        <v>170</v>
      </c>
      <c r="K413" s="285">
        <v>17700</v>
      </c>
      <c r="L413" s="285">
        <v>7800</v>
      </c>
      <c r="M413" s="285">
        <f>SUM(M414+M421+M434+M449+M454+M457+M466+M472+M479+M482)</f>
        <v>7799450</v>
      </c>
      <c r="N413" s="285">
        <f>SUM(N414+N421+N434+N449+N454+N457+N466+N472+N479+N482)</f>
        <v>7229564</v>
      </c>
      <c r="O413" s="318">
        <f>P413-N413</f>
        <v>-4</v>
      </c>
      <c r="P413" s="682">
        <f>M413-569890</f>
        <v>7229560</v>
      </c>
      <c r="Q413" s="247"/>
      <c r="R413" s="247"/>
      <c r="S413" s="247"/>
    </row>
    <row r="414" spans="1:19" ht="13.5" thickBot="1">
      <c r="A414" s="163"/>
      <c r="B414" s="320"/>
      <c r="C414" s="321"/>
      <c r="D414" s="321"/>
      <c r="E414" s="321"/>
      <c r="F414" s="321"/>
      <c r="G414" s="321"/>
      <c r="H414" s="322"/>
      <c r="I414" s="323">
        <v>6020</v>
      </c>
      <c r="J414" s="324" t="s">
        <v>171</v>
      </c>
      <c r="K414" s="325">
        <f>SUM(K415+K416+K417+K418+K419+K420)</f>
        <v>0</v>
      </c>
      <c r="L414" s="496">
        <f>SUM(L415+L416+L417+L418+L419+L420)</f>
        <v>0</v>
      </c>
      <c r="M414" s="447">
        <f>SUM(M415+M416+M417+M418+M419+M420)</f>
        <v>510000</v>
      </c>
      <c r="N414" s="447">
        <f>SUM(N415+N416+N417+N418+N419+N420)</f>
        <v>510000</v>
      </c>
      <c r="O414" s="564"/>
      <c r="Q414" s="247"/>
      <c r="R414" s="247"/>
      <c r="S414" s="247"/>
    </row>
    <row r="415" spans="1:19" ht="13.5" thickBot="1">
      <c r="A415" s="163"/>
      <c r="B415" s="326"/>
      <c r="C415" s="327"/>
      <c r="D415" s="327"/>
      <c r="E415" s="327"/>
      <c r="F415" s="327"/>
      <c r="G415" s="327"/>
      <c r="H415" s="328"/>
      <c r="I415" s="329" t="s">
        <v>11</v>
      </c>
      <c r="J415" s="330" t="s">
        <v>172</v>
      </c>
      <c r="K415" s="331"/>
      <c r="L415" s="497"/>
      <c r="M415" s="468"/>
      <c r="N415" s="537"/>
      <c r="O415" s="325"/>
      <c r="Q415" s="247"/>
      <c r="R415" s="247"/>
      <c r="S415" s="247"/>
    </row>
    <row r="416" spans="1:19">
      <c r="A416" s="163"/>
      <c r="B416" s="332"/>
      <c r="C416" s="333"/>
      <c r="D416" s="333"/>
      <c r="E416" s="333"/>
      <c r="F416" s="333"/>
      <c r="G416" s="333"/>
      <c r="H416" s="334"/>
      <c r="I416" s="335">
        <v>602.02</v>
      </c>
      <c r="J416" s="336" t="s">
        <v>173</v>
      </c>
      <c r="K416" s="337"/>
      <c r="L416" s="498"/>
      <c r="M416" s="469">
        <v>65000</v>
      </c>
      <c r="N416" s="469">
        <v>65000</v>
      </c>
      <c r="O416" s="565"/>
      <c r="Q416" s="247"/>
      <c r="R416" s="247"/>
      <c r="S416" s="247"/>
    </row>
    <row r="417" spans="1:19">
      <c r="A417" s="163"/>
      <c r="B417" s="339"/>
      <c r="C417" s="340"/>
      <c r="D417" s="340"/>
      <c r="E417" s="340"/>
      <c r="F417" s="340"/>
      <c r="G417" s="340"/>
      <c r="H417" s="150"/>
      <c r="I417" s="341">
        <v>602.03</v>
      </c>
      <c r="J417" s="342" t="s">
        <v>174</v>
      </c>
      <c r="K417" s="343"/>
      <c r="L417" s="499"/>
      <c r="M417" s="470">
        <v>37000</v>
      </c>
      <c r="N417" s="470">
        <v>37000</v>
      </c>
      <c r="O417" s="565"/>
      <c r="Q417" s="247"/>
      <c r="R417" s="247"/>
      <c r="S417" s="247"/>
    </row>
    <row r="418" spans="1:19">
      <c r="A418" s="163"/>
      <c r="B418" s="339"/>
      <c r="C418" s="340"/>
      <c r="D418" s="340"/>
      <c r="E418" s="340"/>
      <c r="F418" s="340"/>
      <c r="G418" s="340"/>
      <c r="H418" s="150"/>
      <c r="I418" s="341">
        <v>602.04</v>
      </c>
      <c r="J418" s="342" t="s">
        <v>175</v>
      </c>
      <c r="K418" s="343"/>
      <c r="L418" s="499"/>
      <c r="M418" s="470"/>
      <c r="N418" s="470"/>
      <c r="O418" s="565"/>
      <c r="Q418" s="247"/>
      <c r="R418" s="247"/>
      <c r="S418" s="247"/>
    </row>
    <row r="419" spans="1:19">
      <c r="A419" s="163"/>
      <c r="B419" s="339"/>
      <c r="C419" s="340"/>
      <c r="D419" s="340"/>
      <c r="E419" s="340"/>
      <c r="F419" s="340"/>
      <c r="G419" s="340"/>
      <c r="H419" s="150"/>
      <c r="I419" s="341">
        <v>602.04999999999995</v>
      </c>
      <c r="J419" s="342" t="s">
        <v>176</v>
      </c>
      <c r="K419" s="343"/>
      <c r="L419" s="499"/>
      <c r="M419" s="470">
        <v>0</v>
      </c>
      <c r="N419" s="470">
        <v>0</v>
      </c>
      <c r="O419" s="565"/>
      <c r="Q419" s="298"/>
      <c r="R419" s="247"/>
      <c r="S419" s="247"/>
    </row>
    <row r="420" spans="1:19" ht="13.5" thickBot="1">
      <c r="A420" s="163"/>
      <c r="B420" s="345"/>
      <c r="C420" s="346"/>
      <c r="D420" s="346"/>
      <c r="E420" s="346"/>
      <c r="F420" s="346"/>
      <c r="G420" s="346"/>
      <c r="H420" s="164"/>
      <c r="I420" s="347">
        <v>602.09</v>
      </c>
      <c r="J420" s="348" t="s">
        <v>177</v>
      </c>
      <c r="K420" s="349"/>
      <c r="L420" s="500"/>
      <c r="M420" s="471">
        <v>408000</v>
      </c>
      <c r="N420" s="471">
        <v>408000</v>
      </c>
      <c r="O420" s="565"/>
      <c r="Q420" s="247"/>
      <c r="R420" s="247"/>
      <c r="S420" s="247"/>
    </row>
    <row r="421" spans="1:19" ht="13.5" thickBot="1">
      <c r="A421" s="163"/>
      <c r="B421" s="320"/>
      <c r="C421" s="321"/>
      <c r="D421" s="321"/>
      <c r="E421" s="321"/>
      <c r="F421" s="321"/>
      <c r="G421" s="321"/>
      <c r="H421" s="322"/>
      <c r="I421" s="323">
        <v>602.1</v>
      </c>
      <c r="J421" s="324" t="s">
        <v>178</v>
      </c>
      <c r="K421" s="351">
        <f>SUM(K422+K423+K424+K425+K426+K427+K428+K429+K430+K431+K432+K433)</f>
        <v>0</v>
      </c>
      <c r="L421" s="501">
        <f>SUM(L422+L423+L424+L425+L426+L427+L428+L429+L430+L431+L432+L433)</f>
        <v>0</v>
      </c>
      <c r="M421" s="472">
        <f>SUM(M422+M423+M424+M425+M426+M427+M428+M429+M430+M431+M432+M433)</f>
        <v>0</v>
      </c>
      <c r="N421" s="541"/>
      <c r="O421" s="472"/>
      <c r="Q421" s="247"/>
      <c r="R421" s="247"/>
      <c r="S421" s="247"/>
    </row>
    <row r="422" spans="1:19">
      <c r="A422" s="163"/>
      <c r="B422" s="352"/>
      <c r="C422" s="353"/>
      <c r="D422" s="353"/>
      <c r="E422" s="353"/>
      <c r="F422" s="353"/>
      <c r="G422" s="353"/>
      <c r="H422" s="354"/>
      <c r="I422" s="355">
        <v>602.1001</v>
      </c>
      <c r="J422" s="356" t="s">
        <v>179</v>
      </c>
      <c r="K422" s="357"/>
      <c r="L422" s="502"/>
      <c r="M422" s="473"/>
      <c r="N422" s="542"/>
      <c r="O422" s="565"/>
      <c r="Q422" s="247"/>
      <c r="R422" s="247"/>
      <c r="S422" s="247"/>
    </row>
    <row r="423" spans="1:19">
      <c r="A423" s="163"/>
      <c r="B423" s="339"/>
      <c r="C423" s="340"/>
      <c r="D423" s="340"/>
      <c r="E423" s="340"/>
      <c r="F423" s="340"/>
      <c r="G423" s="340"/>
      <c r="H423" s="150"/>
      <c r="I423" s="358">
        <v>602.10019999999997</v>
      </c>
      <c r="J423" s="359" t="s">
        <v>180</v>
      </c>
      <c r="K423" s="343"/>
      <c r="L423" s="503"/>
      <c r="M423" s="470"/>
      <c r="N423" s="539"/>
      <c r="O423" s="565"/>
      <c r="Q423" s="247"/>
      <c r="R423" s="247"/>
      <c r="S423" s="247"/>
    </row>
    <row r="424" spans="1:19">
      <c r="A424" s="163"/>
      <c r="B424" s="339"/>
      <c r="C424" s="340"/>
      <c r="D424" s="340"/>
      <c r="E424" s="340"/>
      <c r="F424" s="340"/>
      <c r="G424" s="340"/>
      <c r="H424" s="150"/>
      <c r="I424" s="358">
        <v>602.10029999999995</v>
      </c>
      <c r="J424" s="359" t="s">
        <v>181</v>
      </c>
      <c r="K424" s="343"/>
      <c r="L424" s="503"/>
      <c r="M424" s="470"/>
      <c r="N424" s="539"/>
      <c r="O424" s="565"/>
      <c r="R424" s="247"/>
      <c r="S424" s="247"/>
    </row>
    <row r="425" spans="1:19">
      <c r="A425" s="163"/>
      <c r="B425" s="339"/>
      <c r="C425" s="340"/>
      <c r="D425" s="340"/>
      <c r="E425" s="340"/>
      <c r="F425" s="340"/>
      <c r="G425" s="340"/>
      <c r="H425" s="150"/>
      <c r="I425" s="358">
        <v>602.10040000000004</v>
      </c>
      <c r="J425" s="359" t="s">
        <v>182</v>
      </c>
      <c r="K425" s="343"/>
      <c r="L425" s="503"/>
      <c r="M425" s="470"/>
      <c r="N425" s="539"/>
      <c r="O425" s="565"/>
      <c r="R425" s="247"/>
      <c r="S425" s="247"/>
    </row>
    <row r="426" spans="1:19">
      <c r="A426" s="163"/>
      <c r="B426" s="339"/>
      <c r="C426" s="340"/>
      <c r="D426" s="340"/>
      <c r="E426" s="340"/>
      <c r="F426" s="340"/>
      <c r="G426" s="340"/>
      <c r="H426" s="150"/>
      <c r="I426" s="358">
        <v>602.10050000000001</v>
      </c>
      <c r="J426" s="359" t="s">
        <v>183</v>
      </c>
      <c r="K426" s="343"/>
      <c r="L426" s="503"/>
      <c r="M426" s="470"/>
      <c r="N426" s="539"/>
      <c r="O426" s="565"/>
      <c r="R426" s="247"/>
      <c r="S426" s="247"/>
    </row>
    <row r="427" spans="1:19">
      <c r="A427" s="163"/>
      <c r="B427" s="339"/>
      <c r="C427" s="340"/>
      <c r="D427" s="340"/>
      <c r="E427" s="340"/>
      <c r="F427" s="340"/>
      <c r="G427" s="340"/>
      <c r="H427" s="150"/>
      <c r="I427" s="358">
        <v>602.10059999999999</v>
      </c>
      <c r="J427" s="359" t="s">
        <v>184</v>
      </c>
      <c r="K427" s="343"/>
      <c r="L427" s="503"/>
      <c r="M427" s="470"/>
      <c r="N427" s="539"/>
      <c r="O427" s="565"/>
      <c r="R427" s="247"/>
      <c r="S427" s="247"/>
    </row>
    <row r="428" spans="1:19">
      <c r="A428" s="163"/>
      <c r="B428" s="339"/>
      <c r="C428" s="340"/>
      <c r="D428" s="340"/>
      <c r="E428" s="340"/>
      <c r="F428" s="340"/>
      <c r="G428" s="340"/>
      <c r="H428" s="150"/>
      <c r="I428" s="358">
        <v>602.10069999999996</v>
      </c>
      <c r="J428" s="359" t="s">
        <v>185</v>
      </c>
      <c r="K428" s="343"/>
      <c r="L428" s="503"/>
      <c r="M428" s="470"/>
      <c r="N428" s="539"/>
      <c r="O428" s="565"/>
      <c r="R428" s="247"/>
      <c r="S428" s="247"/>
    </row>
    <row r="429" spans="1:19">
      <c r="A429" s="163"/>
      <c r="B429" s="339"/>
      <c r="C429" s="340"/>
      <c r="D429" s="340"/>
      <c r="E429" s="340"/>
      <c r="F429" s="340"/>
      <c r="G429" s="340"/>
      <c r="H429" s="150"/>
      <c r="I429" s="358">
        <v>602.10080000000005</v>
      </c>
      <c r="J429" s="359" t="s">
        <v>186</v>
      </c>
      <c r="K429" s="343"/>
      <c r="L429" s="503"/>
      <c r="M429" s="470"/>
      <c r="N429" s="539"/>
      <c r="O429" s="565"/>
      <c r="R429" s="247"/>
      <c r="S429" s="247"/>
    </row>
    <row r="430" spans="1:19">
      <c r="A430" s="163"/>
      <c r="B430" s="339"/>
      <c r="C430" s="340"/>
      <c r="D430" s="340"/>
      <c r="E430" s="340"/>
      <c r="F430" s="340"/>
      <c r="G430" s="340"/>
      <c r="H430" s="150"/>
      <c r="I430" s="358">
        <v>602.10090000000002</v>
      </c>
      <c r="J430" s="342" t="s">
        <v>187</v>
      </c>
      <c r="K430" s="344"/>
      <c r="L430" s="499"/>
      <c r="M430" s="474"/>
      <c r="N430" s="543"/>
      <c r="O430" s="567"/>
      <c r="R430" s="247"/>
      <c r="S430" s="247"/>
    </row>
    <row r="431" spans="1:19">
      <c r="A431" s="163"/>
      <c r="B431" s="339"/>
      <c r="C431" s="340"/>
      <c r="D431" s="340"/>
      <c r="E431" s="340"/>
      <c r="F431" s="340"/>
      <c r="G431" s="340"/>
      <c r="H431" s="150"/>
      <c r="I431" s="358">
        <v>602.101</v>
      </c>
      <c r="J431" s="342" t="s">
        <v>188</v>
      </c>
      <c r="K431" s="344"/>
      <c r="L431" s="499"/>
      <c r="M431" s="474"/>
      <c r="N431" s="543"/>
      <c r="O431" s="567"/>
      <c r="R431" s="247"/>
      <c r="S431" s="247"/>
    </row>
    <row r="432" spans="1:19">
      <c r="A432" s="163"/>
      <c r="B432" s="339"/>
      <c r="C432" s="340"/>
      <c r="D432" s="340"/>
      <c r="E432" s="340"/>
      <c r="F432" s="340"/>
      <c r="G432" s="340"/>
      <c r="H432" s="150"/>
      <c r="I432" s="341">
        <v>602.10109999999997</v>
      </c>
      <c r="J432" s="342" t="s">
        <v>189</v>
      </c>
      <c r="K432" s="344"/>
      <c r="L432" s="499"/>
      <c r="M432" s="474"/>
      <c r="N432" s="543"/>
      <c r="O432" s="567"/>
      <c r="R432" s="247"/>
      <c r="S432" s="247"/>
    </row>
    <row r="433" spans="1:19" ht="13.5" thickBot="1">
      <c r="A433" s="163"/>
      <c r="B433" s="367"/>
      <c r="C433" s="368"/>
      <c r="D433" s="368"/>
      <c r="E433" s="368"/>
      <c r="F433" s="368"/>
      <c r="G433" s="368"/>
      <c r="H433" s="369"/>
      <c r="I433" s="370">
        <v>602.10990000000004</v>
      </c>
      <c r="J433" s="371" t="s">
        <v>190</v>
      </c>
      <c r="K433" s="378"/>
      <c r="L433" s="504"/>
      <c r="M433" s="475"/>
      <c r="N433" s="544"/>
      <c r="O433" s="567"/>
      <c r="R433" s="247"/>
      <c r="S433" s="247"/>
    </row>
    <row r="434" spans="1:19" ht="13.5" thickBot="1">
      <c r="A434" s="163"/>
      <c r="B434" s="320"/>
      <c r="C434" s="321"/>
      <c r="D434" s="321"/>
      <c r="E434" s="321"/>
      <c r="F434" s="321"/>
      <c r="G434" s="321"/>
      <c r="H434" s="322"/>
      <c r="I434" s="323">
        <v>602.20000000000005</v>
      </c>
      <c r="J434" s="324" t="s">
        <v>191</v>
      </c>
      <c r="K434" s="351">
        <f>SUM(K435+K436+K437+K438+K439+K440+K441+K442+K443+K444+K445+K446+K447+K448)</f>
        <v>0</v>
      </c>
      <c r="L434" s="501">
        <f>SUM(L435+L436+L437+L438+L439+L440+L441+L442+L443+L444+L445+L446+L447+L448)</f>
        <v>0</v>
      </c>
      <c r="M434" s="476">
        <f>SUM(M435+M436+M437+M440+M441+M442+M443+M444+M445+M446+M447+M448)</f>
        <v>1338556</v>
      </c>
      <c r="N434" s="476">
        <f>SUM(N435+N436+N437+N440+N441+N442+N443+N444+N445+N446+N447+N448)</f>
        <v>1109134</v>
      </c>
      <c r="O434" s="476"/>
      <c r="R434" s="247"/>
      <c r="S434" s="247"/>
    </row>
    <row r="435" spans="1:19">
      <c r="A435" s="163"/>
      <c r="B435" s="352"/>
      <c r="C435" s="353"/>
      <c r="D435" s="353"/>
      <c r="E435" s="353"/>
      <c r="F435" s="353"/>
      <c r="G435" s="353"/>
      <c r="H435" s="354"/>
      <c r="I435" s="360">
        <v>602.20010000000002</v>
      </c>
      <c r="J435" s="361" t="s">
        <v>192</v>
      </c>
      <c r="K435" s="362"/>
      <c r="L435" s="505"/>
      <c r="M435" s="514">
        <v>425943</v>
      </c>
      <c r="N435" s="514">
        <f>296517+4</f>
        <v>296521</v>
      </c>
      <c r="O435" s="568"/>
      <c r="R435" s="247"/>
      <c r="S435" s="247"/>
    </row>
    <row r="436" spans="1:19">
      <c r="A436" s="163"/>
      <c r="B436" s="339"/>
      <c r="C436" s="340"/>
      <c r="D436" s="340"/>
      <c r="E436" s="340"/>
      <c r="F436" s="340"/>
      <c r="G436" s="340"/>
      <c r="H436" s="150"/>
      <c r="I436" s="341">
        <v>602.2002</v>
      </c>
      <c r="J436" s="342" t="s">
        <v>193</v>
      </c>
      <c r="K436" s="344"/>
      <c r="L436" s="499"/>
      <c r="M436" s="474">
        <v>0</v>
      </c>
      <c r="N436" s="474">
        <v>0</v>
      </c>
      <c r="O436" s="567"/>
      <c r="R436" s="247"/>
      <c r="S436" s="247"/>
    </row>
    <row r="437" spans="1:19">
      <c r="A437" s="163"/>
      <c r="B437" s="339"/>
      <c r="C437" s="340"/>
      <c r="D437" s="340"/>
      <c r="E437" s="340"/>
      <c r="F437" s="340"/>
      <c r="G437" s="340"/>
      <c r="H437" s="150"/>
      <c r="I437" s="341">
        <v>602.20029999999997</v>
      </c>
      <c r="J437" s="342" t="s">
        <v>194</v>
      </c>
      <c r="K437" s="344"/>
      <c r="L437" s="499"/>
      <c r="M437" s="478">
        <f>M438+M439</f>
        <v>529249</v>
      </c>
      <c r="N437" s="478">
        <f>N438+N439</f>
        <v>529249</v>
      </c>
      <c r="O437" s="569"/>
      <c r="R437" s="247"/>
      <c r="S437" s="247"/>
    </row>
    <row r="438" spans="1:19">
      <c r="A438" s="163"/>
      <c r="B438" s="339"/>
      <c r="C438" s="340"/>
      <c r="D438" s="340"/>
      <c r="E438" s="340"/>
      <c r="F438" s="340"/>
      <c r="G438" s="340"/>
      <c r="H438" s="150"/>
      <c r="I438" s="341"/>
      <c r="J438" s="363" t="s">
        <v>195</v>
      </c>
      <c r="K438" s="344"/>
      <c r="L438" s="499"/>
      <c r="M438" s="515">
        <f>122256+121920+101178+89960</f>
        <v>435314</v>
      </c>
      <c r="N438" s="515">
        <f>122256+121920+101178+89960</f>
        <v>435314</v>
      </c>
      <c r="O438" s="570"/>
      <c r="R438" s="247"/>
      <c r="S438" s="247"/>
    </row>
    <row r="439" spans="1:19">
      <c r="A439" s="163"/>
      <c r="B439" s="339"/>
      <c r="C439" s="340"/>
      <c r="D439" s="340"/>
      <c r="E439" s="340"/>
      <c r="F439" s="340"/>
      <c r="G439" s="340"/>
      <c r="H439" s="150"/>
      <c r="I439" s="341"/>
      <c r="J439" s="363" t="s">
        <v>196</v>
      </c>
      <c r="K439" s="344"/>
      <c r="L439" s="499"/>
      <c r="M439" s="479">
        <f>31811+33999+28125</f>
        <v>93935</v>
      </c>
      <c r="N439" s="479">
        <f>31811+33999+28125</f>
        <v>93935</v>
      </c>
      <c r="O439" s="571"/>
      <c r="R439" s="247"/>
      <c r="S439" s="247"/>
    </row>
    <row r="440" spans="1:19">
      <c r="A440" s="163"/>
      <c r="B440" s="339"/>
      <c r="C440" s="340"/>
      <c r="D440" s="340"/>
      <c r="E440" s="340"/>
      <c r="F440" s="340"/>
      <c r="G440" s="340"/>
      <c r="H440" s="150"/>
      <c r="I440" s="341">
        <v>602.20039999999995</v>
      </c>
      <c r="J440" s="342" t="s">
        <v>197</v>
      </c>
      <c r="K440" s="344"/>
      <c r="L440" s="499"/>
      <c r="M440" s="516">
        <v>114564</v>
      </c>
      <c r="N440" s="516">
        <v>114564</v>
      </c>
      <c r="O440" s="572"/>
      <c r="R440" s="247"/>
      <c r="S440" s="247"/>
    </row>
    <row r="441" spans="1:19">
      <c r="A441" s="163"/>
      <c r="B441" s="339"/>
      <c r="C441" s="340"/>
      <c r="D441" s="340"/>
      <c r="E441" s="340"/>
      <c r="F441" s="340"/>
      <c r="G441" s="340"/>
      <c r="H441" s="150"/>
      <c r="I441" s="341">
        <v>602.20050000000003</v>
      </c>
      <c r="J441" s="342" t="s">
        <v>198</v>
      </c>
      <c r="K441" s="344"/>
      <c r="L441" s="499"/>
      <c r="M441" s="474">
        <v>175000</v>
      </c>
      <c r="N441" s="474">
        <v>75000</v>
      </c>
      <c r="O441" s="567"/>
      <c r="P441" s="512"/>
      <c r="Q441" s="512"/>
      <c r="R441" s="513"/>
      <c r="S441" s="513"/>
    </row>
    <row r="442" spans="1:19">
      <c r="A442" s="163"/>
      <c r="B442" s="339"/>
      <c r="C442" s="340"/>
      <c r="D442" s="340"/>
      <c r="E442" s="340"/>
      <c r="F442" s="340"/>
      <c r="G442" s="340"/>
      <c r="H442" s="150"/>
      <c r="I442" s="341">
        <v>602.20060000000001</v>
      </c>
      <c r="J442" s="342" t="s">
        <v>199</v>
      </c>
      <c r="K442" s="344"/>
      <c r="L442" s="499"/>
      <c r="M442" s="474"/>
      <c r="N442" s="474"/>
      <c r="O442" s="567"/>
      <c r="P442" s="512"/>
      <c r="Q442" s="512"/>
      <c r="R442" s="513"/>
      <c r="S442" s="247"/>
    </row>
    <row r="443" spans="1:19">
      <c r="A443" s="163"/>
      <c r="B443" s="339"/>
      <c r="C443" s="340"/>
      <c r="D443" s="340"/>
      <c r="E443" s="340"/>
      <c r="F443" s="340"/>
      <c r="G443" s="340"/>
      <c r="H443" s="150"/>
      <c r="I443" s="341">
        <v>602.20069999999998</v>
      </c>
      <c r="J443" s="342" t="s">
        <v>200</v>
      </c>
      <c r="K443" s="344"/>
      <c r="L443" s="499"/>
      <c r="M443" s="474">
        <v>200</v>
      </c>
      <c r="N443" s="474">
        <v>200</v>
      </c>
      <c r="O443" s="567"/>
      <c r="P443" s="512"/>
      <c r="Q443" s="512"/>
      <c r="R443" s="513"/>
      <c r="S443" s="247"/>
    </row>
    <row r="444" spans="1:19">
      <c r="A444" s="163"/>
      <c r="B444" s="339"/>
      <c r="C444" s="340"/>
      <c r="D444" s="340"/>
      <c r="E444" s="340"/>
      <c r="F444" s="340"/>
      <c r="G444" s="340"/>
      <c r="H444" s="150"/>
      <c r="I444" s="341">
        <v>602.20079999999996</v>
      </c>
      <c r="J444" s="342" t="s">
        <v>201</v>
      </c>
      <c r="K444" s="344"/>
      <c r="L444" s="499"/>
      <c r="M444" s="474"/>
      <c r="N444" s="474"/>
      <c r="O444" s="567"/>
      <c r="P444" s="512"/>
      <c r="Q444" s="512"/>
      <c r="R444" s="513"/>
      <c r="S444" s="247"/>
    </row>
    <row r="445" spans="1:19">
      <c r="A445" s="163"/>
      <c r="B445" s="339"/>
      <c r="C445" s="340"/>
      <c r="D445" s="340"/>
      <c r="E445" s="340"/>
      <c r="F445" s="340"/>
      <c r="G445" s="340"/>
      <c r="H445" s="150"/>
      <c r="I445" s="341">
        <v>602.20090000000005</v>
      </c>
      <c r="J445" s="342" t="s">
        <v>202</v>
      </c>
      <c r="K445" s="344"/>
      <c r="L445" s="499"/>
      <c r="M445" s="474"/>
      <c r="N445" s="474"/>
      <c r="O445" s="567"/>
      <c r="P445" s="512"/>
      <c r="Q445" s="512"/>
      <c r="R445" s="513"/>
      <c r="S445" s="247"/>
    </row>
    <row r="446" spans="1:19">
      <c r="A446" s="163"/>
      <c r="B446" s="339"/>
      <c r="C446" s="340"/>
      <c r="D446" s="340"/>
      <c r="E446" s="340"/>
      <c r="F446" s="340"/>
      <c r="G446" s="340"/>
      <c r="H446" s="150"/>
      <c r="I446" s="341">
        <v>602.20100000000002</v>
      </c>
      <c r="J446" s="342" t="s">
        <v>203</v>
      </c>
      <c r="K446" s="344"/>
      <c r="L446" s="499"/>
      <c r="M446" s="474"/>
      <c r="N446" s="474"/>
      <c r="O446" s="567"/>
      <c r="P446" s="512"/>
      <c r="Q446" s="512"/>
      <c r="R446" s="513"/>
      <c r="S446" s="247"/>
    </row>
    <row r="447" spans="1:19">
      <c r="A447" s="163"/>
      <c r="B447" s="339"/>
      <c r="C447" s="340"/>
      <c r="D447" s="340"/>
      <c r="E447" s="340"/>
      <c r="F447" s="340"/>
      <c r="G447" s="340"/>
      <c r="H447" s="150"/>
      <c r="I447" s="341">
        <v>602.20110000000102</v>
      </c>
      <c r="J447" s="342" t="s">
        <v>204</v>
      </c>
      <c r="K447" s="344"/>
      <c r="L447" s="499"/>
      <c r="M447" s="474"/>
      <c r="N447" s="474"/>
      <c r="O447" s="567"/>
      <c r="P447" s="512"/>
      <c r="Q447" s="512"/>
      <c r="R447" s="513"/>
      <c r="S447" s="247"/>
    </row>
    <row r="448" spans="1:19" ht="13.5" thickBot="1">
      <c r="A448" s="163"/>
      <c r="B448" s="345"/>
      <c r="C448" s="346"/>
      <c r="D448" s="346"/>
      <c r="E448" s="346"/>
      <c r="F448" s="346"/>
      <c r="G448" s="346"/>
      <c r="H448" s="164"/>
      <c r="I448" s="347">
        <v>602.20989999999995</v>
      </c>
      <c r="J448" s="348" t="s">
        <v>205</v>
      </c>
      <c r="K448" s="350"/>
      <c r="L448" s="500"/>
      <c r="M448" s="480">
        <v>93600</v>
      </c>
      <c r="N448" s="480">
        <v>93600</v>
      </c>
      <c r="O448" s="567"/>
      <c r="P448" s="512"/>
      <c r="Q448" s="512"/>
      <c r="R448" s="513"/>
      <c r="S448" s="247"/>
    </row>
    <row r="449" spans="1:19" ht="13.5" thickBot="1">
      <c r="A449" s="163"/>
      <c r="B449" s="320"/>
      <c r="C449" s="321"/>
      <c r="D449" s="321"/>
      <c r="E449" s="321"/>
      <c r="F449" s="321"/>
      <c r="G449" s="321"/>
      <c r="H449" s="322"/>
      <c r="I449" s="323">
        <v>6023</v>
      </c>
      <c r="J449" s="324" t="s">
        <v>206</v>
      </c>
      <c r="K449" s="351">
        <f>SUM(K450+K451+K452+K453)</f>
        <v>0</v>
      </c>
      <c r="L449" s="501">
        <f>SUM(L450+L451+L452+L453)</f>
        <v>0</v>
      </c>
      <c r="M449" s="476">
        <f>SUM(M450+M451+M452+M453)</f>
        <v>1720344</v>
      </c>
      <c r="N449" s="476">
        <f>SUM(N450+N451+N452+N453)</f>
        <v>1720344</v>
      </c>
      <c r="O449" s="476"/>
      <c r="P449" s="512"/>
      <c r="Q449" s="512"/>
      <c r="R449" s="513"/>
      <c r="S449" s="247"/>
    </row>
    <row r="450" spans="1:19">
      <c r="A450" s="163"/>
      <c r="B450" s="352"/>
      <c r="C450" s="353"/>
      <c r="D450" s="353"/>
      <c r="E450" s="353"/>
      <c r="F450" s="353"/>
      <c r="G450" s="353"/>
      <c r="H450" s="354"/>
      <c r="I450" s="360">
        <v>602.30999999999995</v>
      </c>
      <c r="J450" s="361" t="s">
        <v>207</v>
      </c>
      <c r="K450" s="362"/>
      <c r="L450" s="505"/>
      <c r="M450" s="477">
        <v>1702344</v>
      </c>
      <c r="N450" s="477">
        <v>1702344</v>
      </c>
      <c r="O450" s="634"/>
      <c r="P450" s="512"/>
      <c r="Q450" s="512"/>
      <c r="R450" s="513"/>
      <c r="S450" s="247"/>
    </row>
    <row r="451" spans="1:19">
      <c r="A451" s="163"/>
      <c r="B451" s="339"/>
      <c r="C451" s="340"/>
      <c r="D451" s="340"/>
      <c r="E451" s="340"/>
      <c r="F451" s="340"/>
      <c r="G451" s="340"/>
      <c r="H451" s="150"/>
      <c r="I451" s="341">
        <v>602.32000000000005</v>
      </c>
      <c r="J451" s="342" t="s">
        <v>208</v>
      </c>
      <c r="K451" s="344"/>
      <c r="L451" s="499"/>
      <c r="M451" s="474">
        <v>18000</v>
      </c>
      <c r="N451" s="474">
        <v>18000</v>
      </c>
      <c r="O451" s="567"/>
      <c r="R451" s="247"/>
      <c r="S451" s="247"/>
    </row>
    <row r="452" spans="1:19">
      <c r="A452" s="163"/>
      <c r="B452" s="339"/>
      <c r="C452" s="340"/>
      <c r="D452" s="340"/>
      <c r="E452" s="340"/>
      <c r="F452" s="340"/>
      <c r="G452" s="340"/>
      <c r="H452" s="150"/>
      <c r="I452" s="341">
        <v>602.33000000000004</v>
      </c>
      <c r="J452" s="342" t="s">
        <v>209</v>
      </c>
      <c r="K452" s="344"/>
      <c r="L452" s="499"/>
      <c r="M452" s="474"/>
      <c r="N452" s="474"/>
      <c r="O452" s="567"/>
      <c r="R452" s="247"/>
      <c r="S452" s="247"/>
    </row>
    <row r="453" spans="1:19" ht="13.5" thickBot="1">
      <c r="A453" s="163"/>
      <c r="B453" s="345"/>
      <c r="C453" s="346"/>
      <c r="D453" s="346"/>
      <c r="E453" s="346"/>
      <c r="F453" s="346"/>
      <c r="G453" s="346"/>
      <c r="H453" s="164"/>
      <c r="I453" s="347">
        <v>602.39</v>
      </c>
      <c r="J453" s="348" t="s">
        <v>210</v>
      </c>
      <c r="K453" s="350"/>
      <c r="L453" s="500"/>
      <c r="M453" s="480"/>
      <c r="N453" s="480"/>
      <c r="O453" s="567"/>
      <c r="R453" s="247"/>
      <c r="S453" s="247"/>
    </row>
    <row r="454" spans="1:19" ht="13.5" thickBot="1">
      <c r="A454" s="163"/>
      <c r="B454" s="320"/>
      <c r="C454" s="321"/>
      <c r="D454" s="321"/>
      <c r="E454" s="321"/>
      <c r="F454" s="321"/>
      <c r="G454" s="321"/>
      <c r="H454" s="322"/>
      <c r="I454" s="323">
        <v>602.4</v>
      </c>
      <c r="J454" s="324" t="s">
        <v>35</v>
      </c>
      <c r="K454" s="351">
        <f>SUM(K455+K456)</f>
        <v>0</v>
      </c>
      <c r="L454" s="501">
        <f>SUM(L455+L456)</f>
        <v>0</v>
      </c>
      <c r="M454" s="476">
        <f>SUM(M455+M456)</f>
        <v>2463556</v>
      </c>
      <c r="N454" s="476">
        <f>SUM(N455+N456)</f>
        <v>2313056</v>
      </c>
      <c r="O454" s="476"/>
      <c r="R454" s="247"/>
      <c r="S454" s="247"/>
    </row>
    <row r="455" spans="1:19">
      <c r="A455" s="163"/>
      <c r="B455" s="352"/>
      <c r="C455" s="353"/>
      <c r="D455" s="353"/>
      <c r="E455" s="353"/>
      <c r="F455" s="353"/>
      <c r="G455" s="353"/>
      <c r="H455" s="354"/>
      <c r="I455" s="360">
        <v>602.4</v>
      </c>
      <c r="J455" s="361" t="s">
        <v>211</v>
      </c>
      <c r="K455" s="362"/>
      <c r="L455" s="505"/>
      <c r="M455" s="140">
        <v>2394080</v>
      </c>
      <c r="N455" s="140">
        <v>2243580</v>
      </c>
      <c r="O455" s="573"/>
      <c r="R455" s="247"/>
      <c r="S455" s="247"/>
    </row>
    <row r="456" spans="1:19" ht="13.5" thickBot="1">
      <c r="A456" s="163"/>
      <c r="B456" s="345"/>
      <c r="C456" s="346"/>
      <c r="D456" s="346"/>
      <c r="E456" s="346"/>
      <c r="F456" s="346"/>
      <c r="G456" s="346"/>
      <c r="H456" s="164"/>
      <c r="I456" s="347">
        <v>602.41</v>
      </c>
      <c r="J456" s="348" t="s">
        <v>212</v>
      </c>
      <c r="K456" s="350"/>
      <c r="L456" s="500"/>
      <c r="M456" s="480">
        <v>69476</v>
      </c>
      <c r="N456" s="480">
        <v>69476</v>
      </c>
      <c r="O456" s="567"/>
      <c r="R456" s="247"/>
      <c r="S456" s="247"/>
    </row>
    <row r="457" spans="1:19" ht="13.5" thickBot="1">
      <c r="A457" s="163"/>
      <c r="B457" s="320"/>
      <c r="C457" s="321"/>
      <c r="D457" s="321"/>
      <c r="E457" s="321"/>
      <c r="F457" s="321"/>
      <c r="G457" s="321"/>
      <c r="H457" s="322"/>
      <c r="I457" s="323">
        <v>602.5</v>
      </c>
      <c r="J457" s="324" t="s">
        <v>213</v>
      </c>
      <c r="K457" s="351">
        <f>SUM(K458+K459+K460+K461+K462+K463+K464+K465)</f>
        <v>0</v>
      </c>
      <c r="L457" s="501">
        <f>SUM(L458+L459+L460+L461+L462+L463+L464+L465)</f>
        <v>0</v>
      </c>
      <c r="M457" s="472">
        <f>SUM(M458+M459+M460+M461+M462+M463+M464+M465)</f>
        <v>471300</v>
      </c>
      <c r="N457" s="472">
        <f>SUM(N458+N459+N460+N461+N462+N463+N464+N465)</f>
        <v>401336</v>
      </c>
      <c r="O457" s="472"/>
      <c r="R457" s="247"/>
      <c r="S457" s="247"/>
    </row>
    <row r="458" spans="1:19">
      <c r="A458" s="163"/>
      <c r="B458" s="352"/>
      <c r="C458" s="353"/>
      <c r="D458" s="353"/>
      <c r="E458" s="353"/>
      <c r="F458" s="353"/>
      <c r="G458" s="353"/>
      <c r="H458" s="354"/>
      <c r="I458" s="360">
        <v>602.5</v>
      </c>
      <c r="J458" s="361" t="s">
        <v>214</v>
      </c>
      <c r="K458" s="364"/>
      <c r="L458" s="506"/>
      <c r="M458" s="481"/>
      <c r="N458" s="552"/>
      <c r="O458" s="566"/>
      <c r="R458" s="247"/>
      <c r="S458" s="247"/>
    </row>
    <row r="459" spans="1:19">
      <c r="A459" s="163"/>
      <c r="B459" s="339"/>
      <c r="C459" s="340"/>
      <c r="D459" s="340"/>
      <c r="E459" s="340"/>
      <c r="F459" s="340"/>
      <c r="G459" s="340"/>
      <c r="H459" s="150"/>
      <c r="I459" s="341">
        <v>602.51</v>
      </c>
      <c r="J459" s="342" t="s">
        <v>215</v>
      </c>
      <c r="K459" s="365"/>
      <c r="L459" s="507"/>
      <c r="M459" s="482"/>
      <c r="N459" s="553"/>
      <c r="O459" s="566"/>
      <c r="R459" s="247"/>
      <c r="S459" s="247"/>
    </row>
    <row r="460" spans="1:19">
      <c r="A460" s="163"/>
      <c r="B460" s="339"/>
      <c r="C460" s="340"/>
      <c r="D460" s="340"/>
      <c r="E460" s="340"/>
      <c r="F460" s="340"/>
      <c r="G460" s="340"/>
      <c r="H460" s="150"/>
      <c r="I460" s="341">
        <v>602.52</v>
      </c>
      <c r="J460" s="342" t="s">
        <v>216</v>
      </c>
      <c r="K460" s="365"/>
      <c r="L460" s="507"/>
      <c r="M460" s="482"/>
      <c r="N460" s="553"/>
      <c r="O460" s="566"/>
      <c r="R460" s="247"/>
      <c r="S460" s="247"/>
    </row>
    <row r="461" spans="1:19" ht="13.5" thickBot="1">
      <c r="A461" s="163"/>
      <c r="B461" s="367"/>
      <c r="C461" s="368"/>
      <c r="D461" s="368"/>
      <c r="E461" s="368"/>
      <c r="F461" s="368"/>
      <c r="G461" s="368"/>
      <c r="H461" s="369"/>
      <c r="I461" s="370">
        <v>602.53</v>
      </c>
      <c r="J461" s="371" t="s">
        <v>217</v>
      </c>
      <c r="K461" s="372"/>
      <c r="L461" s="508"/>
      <c r="M461" s="483"/>
      <c r="N461" s="554"/>
      <c r="O461" s="566"/>
      <c r="R461" s="247"/>
      <c r="S461" s="247"/>
    </row>
    <row r="462" spans="1:19">
      <c r="A462" s="163"/>
      <c r="B462" s="332"/>
      <c r="C462" s="333"/>
      <c r="D462" s="333"/>
      <c r="E462" s="333"/>
      <c r="F462" s="333"/>
      <c r="G462" s="333"/>
      <c r="H462" s="334"/>
      <c r="I462" s="335">
        <v>602.54</v>
      </c>
      <c r="J462" s="336" t="s">
        <v>218</v>
      </c>
      <c r="K462" s="373"/>
      <c r="L462" s="509"/>
      <c r="M462" s="469">
        <v>226800</v>
      </c>
      <c r="N462" s="469">
        <v>216836</v>
      </c>
      <c r="O462" s="566"/>
      <c r="R462" s="247"/>
      <c r="S462" s="247"/>
    </row>
    <row r="463" spans="1:19">
      <c r="A463" s="163"/>
      <c r="B463" s="339"/>
      <c r="C463" s="340"/>
      <c r="D463" s="340"/>
      <c r="E463" s="340"/>
      <c r="F463" s="340"/>
      <c r="G463" s="340"/>
      <c r="H463" s="150"/>
      <c r="I463" s="341">
        <v>602.54999999999995</v>
      </c>
      <c r="J463" s="342" t="s">
        <v>219</v>
      </c>
      <c r="K463" s="365"/>
      <c r="L463" s="507"/>
      <c r="M463" s="140">
        <v>84500</v>
      </c>
      <c r="N463" s="140">
        <v>84500</v>
      </c>
      <c r="O463" s="573"/>
      <c r="R463" s="247"/>
      <c r="S463" s="247"/>
    </row>
    <row r="464" spans="1:19">
      <c r="A464" s="163"/>
      <c r="B464" s="339"/>
      <c r="C464" s="340"/>
      <c r="D464" s="340"/>
      <c r="E464" s="340"/>
      <c r="F464" s="340"/>
      <c r="G464" s="340"/>
      <c r="H464" s="150"/>
      <c r="I464" s="341">
        <v>602.55999999999995</v>
      </c>
      <c r="J464" s="342" t="s">
        <v>220</v>
      </c>
      <c r="K464" s="365"/>
      <c r="L464" s="507"/>
      <c r="M464" s="482"/>
      <c r="N464" s="482"/>
      <c r="O464" s="566"/>
      <c r="R464" s="247"/>
      <c r="S464" s="247"/>
    </row>
    <row r="465" spans="1:15" ht="13.5" thickBot="1">
      <c r="A465" s="163"/>
      <c r="B465" s="345"/>
      <c r="C465" s="346"/>
      <c r="D465" s="346"/>
      <c r="E465" s="346"/>
      <c r="F465" s="346"/>
      <c r="G465" s="346"/>
      <c r="H465" s="164"/>
      <c r="I465" s="347">
        <v>602.58000000000004</v>
      </c>
      <c r="J465" s="348" t="s">
        <v>221</v>
      </c>
      <c r="K465" s="374"/>
      <c r="L465" s="510"/>
      <c r="M465" s="140">
        <v>160000</v>
      </c>
      <c r="N465" s="140">
        <v>100000</v>
      </c>
      <c r="O465" s="573"/>
    </row>
    <row r="466" spans="1:15" ht="13.5" thickBot="1">
      <c r="A466" s="163"/>
      <c r="B466" s="320"/>
      <c r="C466" s="321"/>
      <c r="D466" s="321"/>
      <c r="E466" s="321"/>
      <c r="F466" s="321"/>
      <c r="G466" s="321"/>
      <c r="H466" s="322"/>
      <c r="I466" s="323">
        <v>602.6</v>
      </c>
      <c r="J466" s="324" t="s">
        <v>222</v>
      </c>
      <c r="K466" s="376">
        <f>SUM(K467+K468+K469+K470+K471)</f>
        <v>0</v>
      </c>
      <c r="L466" s="511">
        <f>SUM(L467+L468+L469+L470+L471)</f>
        <v>0</v>
      </c>
      <c r="M466" s="485">
        <f>SUM(M467+M468+M469+M470+M471)</f>
        <v>0</v>
      </c>
      <c r="N466" s="556"/>
      <c r="O466" s="569"/>
    </row>
    <row r="467" spans="1:15">
      <c r="A467" s="163"/>
      <c r="B467" s="352"/>
      <c r="C467" s="353"/>
      <c r="D467" s="353"/>
      <c r="E467" s="353"/>
      <c r="F467" s="353"/>
      <c r="G467" s="353"/>
      <c r="H467" s="354"/>
      <c r="I467" s="360">
        <v>602.61</v>
      </c>
      <c r="J467" s="361" t="s">
        <v>223</v>
      </c>
      <c r="K467" s="364"/>
      <c r="L467" s="506"/>
      <c r="M467" s="481"/>
      <c r="N467" s="552"/>
      <c r="O467" s="566"/>
    </row>
    <row r="468" spans="1:15">
      <c r="A468" s="163"/>
      <c r="B468" s="339"/>
      <c r="C468" s="340"/>
      <c r="D468" s="340"/>
      <c r="E468" s="340"/>
      <c r="F468" s="340"/>
      <c r="G468" s="340"/>
      <c r="H468" s="150"/>
      <c r="I468" s="341">
        <v>602.62</v>
      </c>
      <c r="J468" s="342" t="s">
        <v>224</v>
      </c>
      <c r="K468" s="365"/>
      <c r="L468" s="507"/>
      <c r="M468" s="482"/>
      <c r="N468" s="553"/>
      <c r="O468" s="566"/>
    </row>
    <row r="469" spans="1:15">
      <c r="A469" s="163"/>
      <c r="B469" s="339"/>
      <c r="C469" s="340"/>
      <c r="D469" s="340"/>
      <c r="E469" s="340"/>
      <c r="F469" s="340"/>
      <c r="G469" s="340"/>
      <c r="H469" s="150"/>
      <c r="I469" s="341">
        <v>602.63</v>
      </c>
      <c r="J469" s="342" t="s">
        <v>225</v>
      </c>
      <c r="K469" s="365"/>
      <c r="L469" s="507"/>
      <c r="M469" s="482"/>
      <c r="N469" s="553"/>
      <c r="O469" s="566"/>
    </row>
    <row r="470" spans="1:15">
      <c r="A470" s="163"/>
      <c r="B470" s="339"/>
      <c r="C470" s="340"/>
      <c r="D470" s="340"/>
      <c r="E470" s="340"/>
      <c r="F470" s="340"/>
      <c r="G470" s="340"/>
      <c r="H470" s="150"/>
      <c r="I470" s="341">
        <v>602.64</v>
      </c>
      <c r="J470" s="342" t="s">
        <v>226</v>
      </c>
      <c r="K470" s="365"/>
      <c r="L470" s="507"/>
      <c r="M470" s="482"/>
      <c r="N470" s="553"/>
      <c r="O470" s="566"/>
    </row>
    <row r="471" spans="1:15" ht="13.5" thickBot="1">
      <c r="A471" s="163"/>
      <c r="B471" s="345"/>
      <c r="C471" s="346"/>
      <c r="D471" s="346"/>
      <c r="E471" s="346"/>
      <c r="F471" s="346"/>
      <c r="G471" s="346"/>
      <c r="H471" s="164"/>
      <c r="I471" s="347">
        <v>602.69000000000005</v>
      </c>
      <c r="J471" s="348" t="s">
        <v>227</v>
      </c>
      <c r="K471" s="374"/>
      <c r="L471" s="510"/>
      <c r="M471" s="486"/>
      <c r="N471" s="557"/>
      <c r="O471" s="566"/>
    </row>
    <row r="472" spans="1:15" ht="13.5" thickBot="1">
      <c r="A472" s="163"/>
      <c r="B472" s="320"/>
      <c r="C472" s="321"/>
      <c r="D472" s="321"/>
      <c r="E472" s="321"/>
      <c r="F472" s="321"/>
      <c r="G472" s="321"/>
      <c r="H472" s="322"/>
      <c r="I472" s="377">
        <v>602.70000000000005</v>
      </c>
      <c r="J472" s="324" t="s">
        <v>228</v>
      </c>
      <c r="K472" s="376">
        <f>SUM(K473+K474+K475+K476+K477+K478)</f>
        <v>0</v>
      </c>
      <c r="L472" s="511">
        <f>SUM(L473+L474+L475+L476+L477+L478)</f>
        <v>0</v>
      </c>
      <c r="M472" s="485">
        <f>SUM(M473+M474+M475+M476+M477+M478)</f>
        <v>181000</v>
      </c>
      <c r="N472" s="485">
        <f>SUM(N473+N474+N475+N476+N477+N478)</f>
        <v>61000</v>
      </c>
      <c r="O472" s="485"/>
    </row>
    <row r="473" spans="1:15">
      <c r="A473" s="163"/>
      <c r="B473" s="352"/>
      <c r="C473" s="353"/>
      <c r="D473" s="353"/>
      <c r="E473" s="353"/>
      <c r="F473" s="353"/>
      <c r="G473" s="353"/>
      <c r="H473" s="354"/>
      <c r="I473" s="360">
        <v>602.71</v>
      </c>
      <c r="J473" s="361" t="s">
        <v>229</v>
      </c>
      <c r="K473" s="364"/>
      <c r="L473" s="506"/>
      <c r="M473" s="481"/>
      <c r="N473" s="552"/>
      <c r="O473" s="566"/>
    </row>
    <row r="474" spans="1:15">
      <c r="A474" s="163"/>
      <c r="B474" s="339"/>
      <c r="C474" s="340"/>
      <c r="D474" s="340"/>
      <c r="E474" s="340"/>
      <c r="F474" s="340"/>
      <c r="G474" s="340"/>
      <c r="H474" s="150"/>
      <c r="I474" s="341">
        <v>602.72</v>
      </c>
      <c r="J474" s="342" t="s">
        <v>230</v>
      </c>
      <c r="K474" s="365"/>
      <c r="L474" s="507"/>
      <c r="M474" s="482"/>
      <c r="N474" s="553"/>
      <c r="O474" s="566"/>
    </row>
    <row r="475" spans="1:15">
      <c r="A475" s="163"/>
      <c r="B475" s="339"/>
      <c r="C475" s="340"/>
      <c r="D475" s="340"/>
      <c r="E475" s="340"/>
      <c r="F475" s="340"/>
      <c r="G475" s="340"/>
      <c r="H475" s="150"/>
      <c r="I475" s="341">
        <v>602.73</v>
      </c>
      <c r="J475" s="342" t="s">
        <v>231</v>
      </c>
      <c r="K475" s="365"/>
      <c r="L475" s="366"/>
      <c r="M475" s="482"/>
      <c r="N475" s="553"/>
      <c r="O475" s="566"/>
    </row>
    <row r="476" spans="1:15">
      <c r="A476" s="163"/>
      <c r="B476" s="339"/>
      <c r="C476" s="340"/>
      <c r="D476" s="340"/>
      <c r="E476" s="340"/>
      <c r="F476" s="340"/>
      <c r="G476" s="340"/>
      <c r="H476" s="150"/>
      <c r="I476" s="341">
        <v>602.74</v>
      </c>
      <c r="J476" s="342" t="s">
        <v>232</v>
      </c>
      <c r="K476" s="365"/>
      <c r="L476" s="366"/>
      <c r="M476" s="482">
        <v>181000</v>
      </c>
      <c r="N476" s="482">
        <f>71000-10000</f>
        <v>61000</v>
      </c>
      <c r="O476" s="566"/>
    </row>
    <row r="477" spans="1:15">
      <c r="A477" s="163"/>
      <c r="B477" s="339"/>
      <c r="C477" s="340"/>
      <c r="D477" s="340"/>
      <c r="E477" s="340"/>
      <c r="F477" s="340"/>
      <c r="G477" s="340"/>
      <c r="H477" s="150"/>
      <c r="I477" s="341">
        <v>602.75</v>
      </c>
      <c r="J477" s="342" t="s">
        <v>233</v>
      </c>
      <c r="K477" s="365"/>
      <c r="L477" s="366"/>
      <c r="M477" s="482"/>
      <c r="N477" s="553"/>
      <c r="O477" s="566"/>
    </row>
    <row r="478" spans="1:15" ht="13.5" thickBot="1">
      <c r="A478" s="163"/>
      <c r="B478" s="345"/>
      <c r="C478" s="346"/>
      <c r="D478" s="346"/>
      <c r="E478" s="346"/>
      <c r="F478" s="346"/>
      <c r="G478" s="346"/>
      <c r="H478" s="164"/>
      <c r="I478" s="347">
        <v>602.79</v>
      </c>
      <c r="J478" s="348" t="s">
        <v>234</v>
      </c>
      <c r="K478" s="374"/>
      <c r="L478" s="375"/>
      <c r="M478" s="486"/>
      <c r="N478" s="557"/>
      <c r="O478" s="566"/>
    </row>
    <row r="479" spans="1:15" ht="13.5" thickBot="1">
      <c r="A479" s="163"/>
      <c r="B479" s="320"/>
      <c r="C479" s="321"/>
      <c r="D479" s="321"/>
      <c r="E479" s="321"/>
      <c r="F479" s="321"/>
      <c r="G479" s="321"/>
      <c r="H479" s="322"/>
      <c r="I479" s="377">
        <v>602.79999999999995</v>
      </c>
      <c r="J479" s="324" t="s">
        <v>235</v>
      </c>
      <c r="K479" s="376">
        <f>SUM(K480+K481)</f>
        <v>0</v>
      </c>
      <c r="L479" s="376">
        <f>SUM(L480+L481)</f>
        <v>0</v>
      </c>
      <c r="M479" s="485">
        <f>SUM(M480+M481)</f>
        <v>0</v>
      </c>
      <c r="N479" s="556"/>
      <c r="O479" s="485"/>
    </row>
    <row r="480" spans="1:15">
      <c r="A480" s="163"/>
      <c r="B480" s="352"/>
      <c r="C480" s="353"/>
      <c r="D480" s="353"/>
      <c r="E480" s="353"/>
      <c r="F480" s="353"/>
      <c r="G480" s="353"/>
      <c r="H480" s="354"/>
      <c r="I480" s="360">
        <v>602.80999999999995</v>
      </c>
      <c r="J480" s="361" t="s">
        <v>236</v>
      </c>
      <c r="K480" s="357"/>
      <c r="L480" s="362"/>
      <c r="M480" s="473"/>
      <c r="N480" s="542"/>
      <c r="O480" s="565"/>
    </row>
    <row r="481" spans="1:15" ht="13.5" thickBot="1">
      <c r="A481" s="163"/>
      <c r="B481" s="345"/>
      <c r="C481" s="346"/>
      <c r="D481" s="346"/>
      <c r="E481" s="346"/>
      <c r="F481" s="346"/>
      <c r="G481" s="346"/>
      <c r="H481" s="164"/>
      <c r="I481" s="347">
        <v>602.82000000000005</v>
      </c>
      <c r="J481" s="348" t="s">
        <v>237</v>
      </c>
      <c r="K481" s="349"/>
      <c r="L481" s="350"/>
      <c r="M481" s="471"/>
      <c r="N481" s="540"/>
      <c r="O481" s="565"/>
    </row>
    <row r="482" spans="1:15" ht="13.5" thickBot="1">
      <c r="A482" s="163"/>
      <c r="B482" s="320"/>
      <c r="C482" s="321"/>
      <c r="D482" s="321"/>
      <c r="E482" s="321"/>
      <c r="F482" s="321"/>
      <c r="G482" s="321"/>
      <c r="H482" s="322"/>
      <c r="I482" s="323">
        <v>602.9</v>
      </c>
      <c r="J482" s="324" t="s">
        <v>39</v>
      </c>
      <c r="K482" s="376">
        <f>SUM(K483+K484+K485+K486+K487+K488+K489+K490+K491)</f>
        <v>0</v>
      </c>
      <c r="L482" s="376">
        <f>SUM(L483+L484+L485+L486+L487+L488+L489+L490+L491)</f>
        <v>0</v>
      </c>
      <c r="M482" s="485">
        <f>SUM(M483+M484+M485+M486+M487+M488+M489+M490+M491)</f>
        <v>1114694</v>
      </c>
      <c r="N482" s="485">
        <f>SUM(N483+N484+N485+N486+N487+N488+N489+N490+N491)</f>
        <v>1114694</v>
      </c>
      <c r="O482" s="485">
        <f>SUM(M482:N482)</f>
        <v>2229388</v>
      </c>
    </row>
    <row r="483" spans="1:15">
      <c r="A483" s="163"/>
      <c r="B483" s="332"/>
      <c r="C483" s="333"/>
      <c r="D483" s="333"/>
      <c r="E483" s="333"/>
      <c r="F483" s="333"/>
      <c r="G483" s="333"/>
      <c r="H483" s="334"/>
      <c r="I483" s="335">
        <v>602.90009999999995</v>
      </c>
      <c r="J483" s="336" t="s">
        <v>238</v>
      </c>
      <c r="K483" s="338"/>
      <c r="L483" s="338"/>
      <c r="M483" s="487"/>
      <c r="N483" s="558"/>
      <c r="O483" s="567"/>
    </row>
    <row r="484" spans="1:15">
      <c r="A484" s="163"/>
      <c r="B484" s="339"/>
      <c r="C484" s="340"/>
      <c r="D484" s="340"/>
      <c r="E484" s="340"/>
      <c r="F484" s="340"/>
      <c r="G484" s="340"/>
      <c r="H484" s="150"/>
      <c r="I484" s="341">
        <v>602.90020000000004</v>
      </c>
      <c r="J484" s="342" t="s">
        <v>248</v>
      </c>
      <c r="K484" s="344"/>
      <c r="L484" s="344"/>
      <c r="M484" s="474"/>
      <c r="N484" s="543"/>
      <c r="O484" s="567"/>
    </row>
    <row r="485" spans="1:15">
      <c r="A485" s="163"/>
      <c r="B485" s="339"/>
      <c r="C485" s="340"/>
      <c r="D485" s="340"/>
      <c r="E485" s="340"/>
      <c r="F485" s="340"/>
      <c r="G485" s="340"/>
      <c r="H485" s="150"/>
      <c r="I485" s="341">
        <v>602.90030000000002</v>
      </c>
      <c r="J485" s="342" t="s">
        <v>239</v>
      </c>
      <c r="K485" s="344"/>
      <c r="L485" s="344"/>
      <c r="M485" s="474"/>
      <c r="N485" s="543"/>
      <c r="O485" s="567"/>
    </row>
    <row r="486" spans="1:15">
      <c r="A486" s="163"/>
      <c r="B486" s="339"/>
      <c r="C486" s="340"/>
      <c r="D486" s="340"/>
      <c r="E486" s="340"/>
      <c r="F486" s="340"/>
      <c r="G486" s="340"/>
      <c r="H486" s="150"/>
      <c r="I486" s="341">
        <v>602.90039999999999</v>
      </c>
      <c r="J486" s="342" t="s">
        <v>240</v>
      </c>
      <c r="K486" s="344"/>
      <c r="L486" s="344"/>
      <c r="M486" s="474"/>
      <c r="N486" s="543"/>
      <c r="O486" s="567"/>
    </row>
    <row r="487" spans="1:15">
      <c r="A487" s="163"/>
      <c r="B487" s="339"/>
      <c r="C487" s="340"/>
      <c r="D487" s="340"/>
      <c r="E487" s="340"/>
      <c r="F487" s="340"/>
      <c r="G487" s="340"/>
      <c r="H487" s="150"/>
      <c r="I487" s="341">
        <v>602.90049999999997</v>
      </c>
      <c r="J487" s="342" t="s">
        <v>241</v>
      </c>
      <c r="K487" s="344"/>
      <c r="L487" s="344"/>
      <c r="M487" s="474">
        <v>1114694</v>
      </c>
      <c r="N487" s="474">
        <v>1114694</v>
      </c>
      <c r="O487" s="567"/>
    </row>
    <row r="488" spans="1:15">
      <c r="A488" s="163"/>
      <c r="B488" s="339"/>
      <c r="C488" s="340"/>
      <c r="D488" s="340"/>
      <c r="E488" s="340"/>
      <c r="F488" s="340"/>
      <c r="G488" s="340"/>
      <c r="H488" s="150"/>
      <c r="I488" s="341">
        <v>602.90060000000005</v>
      </c>
      <c r="J488" s="342" t="s">
        <v>242</v>
      </c>
      <c r="K488" s="344"/>
      <c r="L488" s="344"/>
      <c r="M488" s="474"/>
      <c r="N488" s="543"/>
      <c r="O488" s="567"/>
    </row>
    <row r="489" spans="1:15">
      <c r="A489" s="163"/>
      <c r="B489" s="339"/>
      <c r="C489" s="340"/>
      <c r="D489" s="340"/>
      <c r="E489" s="340"/>
      <c r="F489" s="340"/>
      <c r="G489" s="340"/>
      <c r="H489" s="150"/>
      <c r="I489" s="341">
        <v>602.90070000000003</v>
      </c>
      <c r="J489" s="342" t="s">
        <v>243</v>
      </c>
      <c r="K489" s="343"/>
      <c r="L489" s="344"/>
      <c r="M489" s="470"/>
      <c r="N489" s="539"/>
      <c r="O489" s="565"/>
    </row>
    <row r="490" spans="1:15">
      <c r="A490" s="163"/>
      <c r="B490" s="339"/>
      <c r="C490" s="340"/>
      <c r="D490" s="340"/>
      <c r="E490" s="340"/>
      <c r="F490" s="340"/>
      <c r="G490" s="340"/>
      <c r="H490" s="150"/>
      <c r="I490" s="341">
        <v>602.90080000000103</v>
      </c>
      <c r="J490" s="342" t="s">
        <v>244</v>
      </c>
      <c r="K490" s="344"/>
      <c r="L490" s="344"/>
      <c r="M490" s="474"/>
      <c r="N490" s="543"/>
      <c r="O490" s="567"/>
    </row>
    <row r="491" spans="1:15" ht="13.5" thickBot="1">
      <c r="A491" s="163"/>
      <c r="B491" s="345"/>
      <c r="C491" s="346"/>
      <c r="D491" s="346"/>
      <c r="E491" s="346"/>
      <c r="F491" s="346"/>
      <c r="G491" s="346"/>
      <c r="H491" s="164"/>
      <c r="I491" s="347">
        <v>602.900900000001</v>
      </c>
      <c r="J491" s="348" t="s">
        <v>245</v>
      </c>
      <c r="K491" s="350"/>
      <c r="L491" s="350"/>
      <c r="M491" s="480"/>
      <c r="N491" s="551"/>
      <c r="O491" s="567"/>
    </row>
    <row r="492" spans="1:15" ht="15.75" thickBot="1">
      <c r="A492" s="163"/>
      <c r="B492" s="385"/>
      <c r="C492" s="386"/>
      <c r="D492" s="386"/>
      <c r="E492" s="386">
        <v>6</v>
      </c>
      <c r="F492" s="386"/>
      <c r="G492" s="387">
        <v>10430</v>
      </c>
      <c r="H492" s="389">
        <v>230</v>
      </c>
      <c r="I492" s="390"/>
      <c r="J492" s="391" t="s">
        <v>249</v>
      </c>
      <c r="K492" s="388"/>
      <c r="L492" s="388"/>
      <c r="M492" s="388"/>
      <c r="N492" s="559"/>
      <c r="O492" s="388"/>
    </row>
    <row r="493" spans="1:15" ht="15">
      <c r="A493" s="163"/>
      <c r="B493" s="224"/>
      <c r="C493" s="163" t="s">
        <v>289</v>
      </c>
      <c r="D493" s="163"/>
      <c r="E493" s="163"/>
      <c r="F493" s="163"/>
      <c r="G493" s="163"/>
      <c r="H493" s="163"/>
      <c r="I493" s="163"/>
      <c r="J493" s="379"/>
      <c r="K493" s="380"/>
      <c r="L493" s="380"/>
      <c r="M493" s="488"/>
      <c r="N493" s="488"/>
      <c r="O493" s="488"/>
    </row>
    <row r="494" spans="1:15">
      <c r="A494" s="163"/>
      <c r="B494" s="224"/>
      <c r="C494" s="163"/>
      <c r="D494" s="163"/>
      <c r="E494" s="163"/>
      <c r="F494" s="163"/>
      <c r="G494" s="163"/>
      <c r="H494" s="163"/>
      <c r="I494" s="163"/>
      <c r="J494" s="5"/>
      <c r="K494" s="381"/>
      <c r="L494" s="381"/>
      <c r="M494" s="489"/>
      <c r="N494" s="489"/>
      <c r="O494" s="489"/>
    </row>
    <row r="495" spans="1:15" ht="15">
      <c r="A495" s="163"/>
      <c r="B495" s="224"/>
      <c r="C495" s="163" t="s">
        <v>246</v>
      </c>
      <c r="D495" s="163"/>
      <c r="E495" s="163"/>
      <c r="F495" s="163"/>
      <c r="G495" s="163"/>
      <c r="H495" s="163"/>
      <c r="I495" s="163"/>
      <c r="J495" s="379"/>
      <c r="K495" s="382"/>
      <c r="L495" s="382"/>
      <c r="M495" s="490"/>
      <c r="N495" s="490"/>
      <c r="O495" s="490"/>
    </row>
    <row r="496" spans="1:15" ht="15">
      <c r="A496" s="163"/>
      <c r="B496" s="224"/>
      <c r="C496" s="163"/>
      <c r="D496" s="383" t="s">
        <v>247</v>
      </c>
      <c r="E496" s="383"/>
      <c r="F496" s="383"/>
      <c r="G496" s="383"/>
      <c r="H496" s="163"/>
      <c r="J496" s="383"/>
      <c r="K496" s="384" t="s">
        <v>290</v>
      </c>
      <c r="L496" s="380"/>
      <c r="M496" s="488"/>
      <c r="N496" s="488"/>
      <c r="O496" s="488"/>
    </row>
    <row r="497" spans="1:22">
      <c r="A497" s="163"/>
      <c r="B497" s="224"/>
      <c r="C497" s="163"/>
      <c r="D497" s="71" t="s">
        <v>130</v>
      </c>
      <c r="E497" s="383"/>
      <c r="F497" s="383"/>
      <c r="G497" s="383"/>
      <c r="H497" s="383"/>
      <c r="I497" s="383"/>
      <c r="J497" s="383"/>
      <c r="K497" s="398" t="s">
        <v>250</v>
      </c>
      <c r="L497" s="398"/>
      <c r="M497" s="489"/>
      <c r="N497" s="489"/>
      <c r="O497" s="489"/>
      <c r="P497" s="220"/>
      <c r="Q497" s="220"/>
      <c r="R497" s="220"/>
      <c r="S497" s="220"/>
    </row>
    <row r="498" spans="1:22">
      <c r="A498" s="163"/>
      <c r="B498" s="224"/>
      <c r="C498" s="163"/>
      <c r="D498" s="71"/>
      <c r="E498" s="383"/>
      <c r="F498" s="383"/>
      <c r="G498" s="383"/>
      <c r="H498" s="383"/>
      <c r="I498" s="383"/>
      <c r="J498" s="383"/>
      <c r="K498" s="398"/>
      <c r="L498" s="398"/>
      <c r="M498" s="489"/>
      <c r="N498" s="489"/>
      <c r="O498" s="489"/>
      <c r="P498" s="223"/>
      <c r="Q498" s="223"/>
      <c r="R498" s="223"/>
      <c r="S498" s="223"/>
    </row>
    <row r="499" spans="1:22">
      <c r="B499" s="224"/>
      <c r="C499" s="127" t="s">
        <v>251</v>
      </c>
      <c r="D499" s="127"/>
      <c r="E499" s="127"/>
      <c r="F499" s="127"/>
      <c r="G499" s="127"/>
      <c r="H499" s="127"/>
      <c r="I499" s="127"/>
      <c r="J499" s="127"/>
      <c r="K499" s="399"/>
      <c r="L499" s="400"/>
      <c r="M499" s="674"/>
      <c r="N499" s="674"/>
      <c r="O499" s="675"/>
      <c r="P499" s="223"/>
      <c r="Q499" s="223"/>
      <c r="R499" s="223"/>
      <c r="S499" s="223"/>
    </row>
    <row r="502" spans="1:22">
      <c r="G502" s="5"/>
      <c r="H502" s="5"/>
      <c r="I502" s="5"/>
      <c r="J502" s="5"/>
      <c r="K502" s="5"/>
      <c r="L502" s="5"/>
      <c r="M502" s="683"/>
      <c r="N502" s="683"/>
    </row>
    <row r="503" spans="1:22">
      <c r="G503" s="5"/>
      <c r="H503" s="5"/>
      <c r="I503" s="5"/>
      <c r="J503" s="5"/>
      <c r="K503" s="5"/>
      <c r="L503" s="683"/>
      <c r="M503" s="683"/>
      <c r="O503" s="149"/>
    </row>
    <row r="504" spans="1:22">
      <c r="A504" s="163"/>
      <c r="B504" s="163"/>
      <c r="C504" s="210"/>
      <c r="D504" s="210"/>
      <c r="E504" s="210"/>
      <c r="F504" s="210"/>
      <c r="G504" s="210"/>
      <c r="H504" s="211"/>
      <c r="I504" s="211"/>
      <c r="J504" s="211"/>
      <c r="K504" s="211"/>
      <c r="L504" s="212"/>
      <c r="M504" s="212"/>
      <c r="N504" s="212"/>
      <c r="O504" s="149"/>
    </row>
    <row r="505" spans="1:22" ht="15">
      <c r="A505" s="163"/>
      <c r="B505" s="163"/>
      <c r="C505" s="210"/>
      <c r="D505" s="210"/>
      <c r="E505" s="210"/>
      <c r="F505" s="210"/>
      <c r="G505" s="210"/>
      <c r="H505" s="210"/>
      <c r="I505" s="213"/>
      <c r="J505" s="681"/>
      <c r="K505" s="215"/>
      <c r="L505" s="210"/>
      <c r="M505" s="210"/>
      <c r="N505" s="210"/>
      <c r="O505" s="149"/>
    </row>
    <row r="506" spans="1:22" ht="15">
      <c r="A506" s="394"/>
      <c r="B506" s="216"/>
      <c r="C506" s="217"/>
      <c r="D506" s="217"/>
      <c r="E506" s="218"/>
      <c r="F506" s="218"/>
      <c r="G506" s="218"/>
      <c r="H506" s="218"/>
      <c r="I506" s="218"/>
      <c r="J506" s="218"/>
      <c r="K506" s="217"/>
      <c r="L506" s="452"/>
      <c r="M506" s="452"/>
      <c r="N506" s="452"/>
      <c r="O506" s="220"/>
      <c r="P506" s="220"/>
      <c r="Q506" s="220"/>
      <c r="R506" s="220"/>
      <c r="S506" s="220"/>
      <c r="T506" s="220"/>
      <c r="U506" s="220"/>
      <c r="V506" s="220"/>
    </row>
    <row r="507" spans="1:22" ht="15">
      <c r="A507" s="395"/>
      <c r="B507" s="221"/>
      <c r="C507" s="218" t="s">
        <v>301</v>
      </c>
      <c r="D507" s="218"/>
      <c r="E507" s="218"/>
      <c r="F507" s="218"/>
      <c r="G507" s="218"/>
      <c r="H507" s="218"/>
      <c r="I507" s="218"/>
      <c r="J507" s="218"/>
      <c r="K507" s="218"/>
      <c r="L507" s="453"/>
      <c r="M507" s="453"/>
      <c r="N507" s="453"/>
      <c r="O507" s="223"/>
      <c r="P507" s="223"/>
      <c r="Q507" s="223"/>
      <c r="R507" s="223"/>
      <c r="S507" s="223"/>
      <c r="T507" s="223"/>
      <c r="U507" s="223"/>
      <c r="V507" s="223"/>
    </row>
    <row r="508" spans="1:22" ht="15">
      <c r="A508" s="395"/>
      <c r="B508" s="221"/>
      <c r="C508" s="218" t="s">
        <v>302</v>
      </c>
      <c r="D508" s="218"/>
      <c r="E508" s="218"/>
      <c r="F508" s="218"/>
      <c r="G508" s="218"/>
      <c r="H508" s="218"/>
      <c r="I508" s="218"/>
      <c r="J508" s="218"/>
      <c r="K508" s="218"/>
      <c r="L508" s="453"/>
      <c r="M508" s="453"/>
      <c r="N508" s="453"/>
      <c r="O508" s="223"/>
      <c r="P508" s="223"/>
      <c r="Q508" s="223"/>
      <c r="R508" s="223"/>
      <c r="S508" s="223"/>
      <c r="T508" s="223"/>
      <c r="U508" s="223"/>
      <c r="V508" s="223"/>
    </row>
    <row r="509" spans="1:22" ht="15">
      <c r="A509" s="163"/>
      <c r="B509" s="224"/>
      <c r="C509" s="224"/>
      <c r="D509" s="224"/>
      <c r="E509" s="224"/>
      <c r="F509" s="224"/>
      <c r="G509" s="224"/>
      <c r="H509" s="224"/>
      <c r="I509" s="225"/>
      <c r="J509" s="392" t="s">
        <v>303</v>
      </c>
      <c r="K509" s="224"/>
      <c r="L509" s="454"/>
      <c r="M509" s="454"/>
      <c r="N509" s="454"/>
      <c r="O509" s="149"/>
    </row>
    <row r="510" spans="1:22" ht="14.25">
      <c r="A510" s="163"/>
      <c r="B510" s="163"/>
      <c r="C510" s="163"/>
      <c r="D510" s="163"/>
      <c r="E510" s="226"/>
      <c r="F510" s="226"/>
      <c r="G510" s="226"/>
      <c r="H510" s="214"/>
      <c r="I510" s="227"/>
      <c r="J510" s="228"/>
      <c r="K510" s="229"/>
      <c r="L510" s="455"/>
      <c r="M510" s="455"/>
      <c r="N510" s="455"/>
      <c r="O510" s="149"/>
    </row>
    <row r="511" spans="1:22" ht="14.25">
      <c r="A511" s="163"/>
      <c r="C511" s="383" t="s">
        <v>300</v>
      </c>
      <c r="D511" s="226"/>
      <c r="E511" s="5"/>
      <c r="F511" s="163"/>
      <c r="G511" s="226"/>
      <c r="H511" s="214"/>
      <c r="I511" s="231"/>
      <c r="J511" s="232"/>
      <c r="K511" s="229" t="s">
        <v>413</v>
      </c>
      <c r="L511" s="455"/>
      <c r="M511" s="455"/>
      <c r="N511" s="455"/>
      <c r="O511" s="149"/>
    </row>
    <row r="512" spans="1:22" ht="14.25">
      <c r="A512" s="163"/>
      <c r="C512" s="383"/>
      <c r="D512" s="226"/>
      <c r="E512" s="5"/>
      <c r="F512" s="163"/>
      <c r="G512" s="226"/>
      <c r="H512" s="214"/>
      <c r="I512" s="231"/>
      <c r="J512" s="232"/>
      <c r="K512" s="229"/>
      <c r="L512" s="455"/>
      <c r="M512" s="455"/>
      <c r="N512" s="455"/>
      <c r="O512" s="149"/>
    </row>
    <row r="513" spans="1:22" ht="14.25">
      <c r="A513" s="163"/>
      <c r="C513" s="383"/>
      <c r="D513" s="226"/>
      <c r="E513" s="5"/>
      <c r="F513" s="163"/>
      <c r="G513" s="226"/>
      <c r="H513" s="214"/>
      <c r="I513" s="231"/>
      <c r="J513" s="232"/>
      <c r="K513" s="229"/>
      <c r="L513" s="455"/>
      <c r="M513" s="455"/>
      <c r="N513" s="455"/>
      <c r="O513" s="149"/>
    </row>
    <row r="514" spans="1:22" ht="14.25">
      <c r="A514" s="163"/>
      <c r="B514" s="233"/>
      <c r="C514" s="233"/>
      <c r="D514" s="237"/>
      <c r="E514" s="233"/>
      <c r="F514" s="233"/>
      <c r="G514" s="234"/>
      <c r="H514" s="235"/>
      <c r="I514" s="233"/>
      <c r="J514" s="236" t="s">
        <v>306</v>
      </c>
      <c r="K514" s="238"/>
      <c r="L514" s="456"/>
      <c r="M514" s="456"/>
      <c r="N514" s="456"/>
      <c r="O514" s="149"/>
    </row>
    <row r="515" spans="1:22" ht="13.5" thickBot="1">
      <c r="A515" s="163"/>
      <c r="B515" s="239"/>
      <c r="C515" s="233"/>
      <c r="D515" s="233"/>
      <c r="E515" s="235"/>
      <c r="F515" s="235"/>
      <c r="G515" s="235"/>
      <c r="H515" s="235"/>
      <c r="I515" s="235"/>
      <c r="J515" s="686" t="s">
        <v>307</v>
      </c>
      <c r="K515" s="240"/>
      <c r="L515" s="457"/>
      <c r="M515" s="739" t="s">
        <v>410</v>
      </c>
      <c r="N515" s="149"/>
      <c r="O515" s="149"/>
    </row>
    <row r="516" spans="1:22" ht="52.5" customHeight="1" thickBot="1">
      <c r="A516" s="396"/>
      <c r="B516" s="689" t="s">
        <v>137</v>
      </c>
      <c r="C516" s="690" t="s">
        <v>138</v>
      </c>
      <c r="D516" s="689" t="s">
        <v>139</v>
      </c>
      <c r="E516" s="689" t="s">
        <v>140</v>
      </c>
      <c r="F516" s="689" t="s">
        <v>141</v>
      </c>
      <c r="G516" s="689" t="s">
        <v>142</v>
      </c>
      <c r="H516" s="691" t="s">
        <v>126</v>
      </c>
      <c r="I516" s="689" t="s">
        <v>143</v>
      </c>
      <c r="J516" s="684" t="s">
        <v>304</v>
      </c>
      <c r="K516" s="245" t="s">
        <v>145</v>
      </c>
      <c r="L516" s="458" t="s">
        <v>292</v>
      </c>
      <c r="M516" s="685" t="s">
        <v>305</v>
      </c>
      <c r="N516" s="560"/>
      <c r="O516" s="247"/>
      <c r="P516" s="247"/>
      <c r="Q516" s="247">
        <v>606</v>
      </c>
      <c r="R516" s="137" t="s">
        <v>409</v>
      </c>
      <c r="S516" s="247"/>
      <c r="T516" s="247"/>
      <c r="U516" s="247"/>
      <c r="V516" s="247"/>
    </row>
    <row r="517" spans="1:22" ht="18.75" thickBot="1">
      <c r="A517" s="396"/>
      <c r="B517" s="248" t="s">
        <v>148</v>
      </c>
      <c r="C517" s="249">
        <v>25</v>
      </c>
      <c r="D517" s="517" t="s">
        <v>267</v>
      </c>
      <c r="E517" s="250">
        <v>1</v>
      </c>
      <c r="F517" s="250">
        <v>1111</v>
      </c>
      <c r="G517" s="694">
        <v>10430</v>
      </c>
      <c r="H517" s="251"/>
      <c r="I517" s="252"/>
      <c r="J517" s="687" t="s">
        <v>308</v>
      </c>
      <c r="K517" s="254">
        <f>SUM(K518+K519+K520+K521)</f>
        <v>0</v>
      </c>
      <c r="L517" s="459">
        <f>SUM(L518+L519+L520+L521)</f>
        <v>0</v>
      </c>
      <c r="M517" s="459"/>
      <c r="N517" s="459"/>
      <c r="O517" s="247"/>
      <c r="P517" s="247"/>
      <c r="Q517" s="247">
        <v>30000</v>
      </c>
      <c r="R517" s="247">
        <v>22749000</v>
      </c>
      <c r="S517" s="247"/>
      <c r="T517" s="247"/>
      <c r="U517" s="247"/>
      <c r="V517" s="247"/>
    </row>
    <row r="518" spans="1:22" ht="15.75">
      <c r="A518" s="396"/>
      <c r="B518" s="255"/>
      <c r="C518" s="256"/>
      <c r="D518" s="256"/>
      <c r="E518" s="256">
        <v>1</v>
      </c>
      <c r="F518" s="256"/>
      <c r="G518" s="256"/>
      <c r="H518" s="257"/>
      <c r="I518" s="258"/>
      <c r="J518" s="259" t="s">
        <v>309</v>
      </c>
      <c r="K518" s="260"/>
      <c r="L518" s="460"/>
      <c r="M518" s="460"/>
      <c r="N518" s="730"/>
      <c r="O518" s="727">
        <v>42579</v>
      </c>
      <c r="P518" s="181">
        <v>20025</v>
      </c>
      <c r="Q518" s="726">
        <v>1000</v>
      </c>
      <c r="R518" s="298">
        <f>P518+Q518</f>
        <v>21025</v>
      </c>
      <c r="S518" s="247"/>
      <c r="T518" s="298">
        <v>20025000</v>
      </c>
      <c r="U518" s="298">
        <v>1000</v>
      </c>
      <c r="V518" s="298">
        <f>SUM(T518:U518)</f>
        <v>20026000</v>
      </c>
    </row>
    <row r="519" spans="1:22" ht="15.75">
      <c r="A519" s="396"/>
      <c r="B519" s="262"/>
      <c r="C519" s="263"/>
      <c r="D519" s="263"/>
      <c r="E519" s="263">
        <v>5</v>
      </c>
      <c r="F519" s="263"/>
      <c r="G519" s="263"/>
      <c r="H519" s="264"/>
      <c r="I519" s="265"/>
      <c r="J519" s="266" t="s">
        <v>310</v>
      </c>
      <c r="K519" s="267"/>
      <c r="L519" s="461"/>
      <c r="M519" s="461"/>
      <c r="N519" s="561"/>
      <c r="O519" s="727">
        <v>8170</v>
      </c>
      <c r="P519" s="181">
        <v>2723.3333333333335</v>
      </c>
      <c r="Q519" s="726"/>
      <c r="R519" s="247"/>
      <c r="S519" s="247"/>
      <c r="T519" s="298">
        <v>2723000</v>
      </c>
      <c r="U519" s="298"/>
      <c r="V519" s="298">
        <v>2723000</v>
      </c>
    </row>
    <row r="520" spans="1:22" ht="15.75">
      <c r="A520" s="396"/>
      <c r="B520" s="262"/>
      <c r="C520" s="263"/>
      <c r="D520" s="263"/>
      <c r="E520" s="263">
        <v>5</v>
      </c>
      <c r="F520" s="263"/>
      <c r="G520" s="263"/>
      <c r="H520" s="264"/>
      <c r="I520" s="265"/>
      <c r="J520" s="266" t="s">
        <v>311</v>
      </c>
      <c r="K520" s="267"/>
      <c r="L520" s="461"/>
      <c r="M520" s="461"/>
      <c r="N520" s="561"/>
      <c r="O520" s="727">
        <v>50749</v>
      </c>
      <c r="P520" s="181">
        <v>22748.333333333332</v>
      </c>
      <c r="Q520" s="726"/>
      <c r="R520" s="298"/>
      <c r="S520" s="247"/>
      <c r="T520" s="298">
        <f>SUM(T518:T519)</f>
        <v>22748000</v>
      </c>
      <c r="U520" s="298"/>
      <c r="V520" s="298">
        <f>SUM(V518:V519)</f>
        <v>22749000</v>
      </c>
    </row>
    <row r="521" spans="1:22" ht="16.5" thickBot="1">
      <c r="A521" s="396"/>
      <c r="B521" s="269"/>
      <c r="C521" s="270"/>
      <c r="D521" s="270"/>
      <c r="E521" s="270">
        <v>6</v>
      </c>
      <c r="F521" s="270"/>
      <c r="G521" s="270"/>
      <c r="H521" s="271"/>
      <c r="I521" s="272"/>
      <c r="J521" s="273" t="s">
        <v>312</v>
      </c>
      <c r="K521" s="274"/>
      <c r="L521" s="462"/>
      <c r="M521" s="462"/>
      <c r="N521" s="561"/>
      <c r="O521" s="728">
        <v>17700</v>
      </c>
      <c r="P521" s="181">
        <v>9022.5</v>
      </c>
      <c r="Q521" s="726">
        <v>1000</v>
      </c>
      <c r="R521" s="298">
        <f>P521+Q521</f>
        <v>10022.5</v>
      </c>
      <c r="S521" s="247"/>
      <c r="T521" s="298">
        <v>9023</v>
      </c>
      <c r="U521" s="298">
        <v>1029500</v>
      </c>
      <c r="V521" s="298"/>
    </row>
    <row r="522" spans="1:22" ht="16.5" thickBot="1">
      <c r="A522" s="396"/>
      <c r="B522" s="276"/>
      <c r="C522" s="277"/>
      <c r="D522" s="277"/>
      <c r="E522" s="277"/>
      <c r="F522" s="277"/>
      <c r="G522" s="277"/>
      <c r="H522" s="277"/>
      <c r="I522" s="278"/>
      <c r="J522" s="688" t="s">
        <v>313</v>
      </c>
      <c r="K522" s="740">
        <f>SUM(K523+K538+K541+K620+K621)</f>
        <v>68479</v>
      </c>
      <c r="L522" s="574">
        <f>SUM(L523+L538+L541+L620+L621)</f>
        <v>24501</v>
      </c>
      <c r="M522" s="574">
        <f>SUM(M523+M538+M541+M620+M621)</f>
        <v>24283</v>
      </c>
      <c r="N522" s="731">
        <f>L522-M522</f>
        <v>218</v>
      </c>
      <c r="O522" s="729">
        <v>68449</v>
      </c>
      <c r="P522" s="181">
        <v>31770.833333333332</v>
      </c>
      <c r="Q522" s="726"/>
      <c r="R522" s="247"/>
      <c r="S522" s="247"/>
      <c r="T522" s="298"/>
      <c r="U522" s="298"/>
      <c r="V522" s="298"/>
    </row>
    <row r="523" spans="1:22" ht="13.5" thickBot="1">
      <c r="A523" s="383"/>
      <c r="B523" s="280"/>
      <c r="C523" s="281"/>
      <c r="D523" s="281"/>
      <c r="E523" s="281"/>
      <c r="F523" s="281"/>
      <c r="G523" s="281"/>
      <c r="H523" s="693">
        <v>600</v>
      </c>
      <c r="I523" s="283"/>
      <c r="J523" s="284" t="s">
        <v>314</v>
      </c>
      <c r="K523" s="285">
        <f>SUM(K524+K525+K526+K527+K528+K529+K530+K531+K532+K533+K534+K535+K536+K537)</f>
        <v>42579</v>
      </c>
      <c r="L523" s="285">
        <f>L524+L534+L537</f>
        <v>12898</v>
      </c>
      <c r="M523" s="719">
        <f>M524+M534+M537</f>
        <v>12898</v>
      </c>
      <c r="N523" s="285"/>
      <c r="O523" s="247">
        <v>12897930</v>
      </c>
      <c r="P523" s="298"/>
      <c r="Q523" s="247"/>
      <c r="R523" s="247"/>
      <c r="S523" s="286"/>
      <c r="T523" s="286"/>
      <c r="U523" s="286"/>
      <c r="V523" s="286"/>
    </row>
    <row r="524" spans="1:22">
      <c r="A524" s="396"/>
      <c r="B524" s="287"/>
      <c r="C524" s="288"/>
      <c r="D524" s="288"/>
      <c r="E524" s="288"/>
      <c r="F524" s="288"/>
      <c r="G524" s="288"/>
      <c r="H524" s="289"/>
      <c r="I524" s="290">
        <v>600.1</v>
      </c>
      <c r="J524" s="696" t="s">
        <v>315</v>
      </c>
      <c r="K524" s="463">
        <v>42579</v>
      </c>
      <c r="L524" s="463">
        <f>SUM(L525:L529)</f>
        <v>12898</v>
      </c>
      <c r="M524" s="720">
        <f>SUM(M525:M529)</f>
        <v>12898</v>
      </c>
      <c r="N524" s="562"/>
      <c r="O524" s="718">
        <v>112001</v>
      </c>
      <c r="P524" s="718" t="s">
        <v>407</v>
      </c>
      <c r="Q524" s="247"/>
      <c r="R524" s="718"/>
      <c r="S524" s="247"/>
      <c r="T524" s="298"/>
      <c r="U524" s="298"/>
      <c r="V524" s="298"/>
    </row>
    <row r="525" spans="1:22">
      <c r="A525" s="396"/>
      <c r="B525" s="292"/>
      <c r="C525" s="293"/>
      <c r="D525" s="293"/>
      <c r="E525" s="293"/>
      <c r="F525" s="293"/>
      <c r="G525" s="293"/>
      <c r="H525" s="294"/>
      <c r="I525" s="295">
        <v>600.1001</v>
      </c>
      <c r="J525" s="697" t="s">
        <v>316</v>
      </c>
      <c r="K525" s="297"/>
      <c r="L525" s="464">
        <v>2711</v>
      </c>
      <c r="M525" s="464">
        <v>2711</v>
      </c>
      <c r="N525" s="562"/>
      <c r="O525" s="718">
        <v>78273</v>
      </c>
      <c r="P525" s="718" t="s">
        <v>408</v>
      </c>
      <c r="Q525" s="247"/>
      <c r="R525" s="718"/>
      <c r="S525" s="247"/>
      <c r="T525" s="298"/>
      <c r="U525" s="298"/>
      <c r="V525" s="298"/>
    </row>
    <row r="526" spans="1:22">
      <c r="A526" s="396"/>
      <c r="B526" s="292"/>
      <c r="C526" s="293"/>
      <c r="D526" s="293"/>
      <c r="E526" s="293"/>
      <c r="F526" s="293"/>
      <c r="G526" s="293"/>
      <c r="H526" s="294"/>
      <c r="I526" s="295">
        <v>600.10019999999997</v>
      </c>
      <c r="J526" s="697" t="s">
        <v>317</v>
      </c>
      <c r="K526" s="297"/>
      <c r="L526" s="464">
        <v>25</v>
      </c>
      <c r="M526" s="464">
        <v>25</v>
      </c>
      <c r="N526" s="562"/>
      <c r="O526" s="298"/>
      <c r="P526" s="247"/>
      <c r="Q526" s="247"/>
      <c r="R526" s="247"/>
      <c r="S526" s="247"/>
      <c r="T526" s="298"/>
      <c r="U526" s="298">
        <v>10052500</v>
      </c>
      <c r="V526" s="298"/>
    </row>
    <row r="527" spans="1:22">
      <c r="A527" s="396"/>
      <c r="B527" s="292"/>
      <c r="C527" s="293"/>
      <c r="D527" s="293"/>
      <c r="E527" s="293"/>
      <c r="F527" s="293"/>
      <c r="G527" s="293"/>
      <c r="H527" s="294"/>
      <c r="I527" s="295">
        <v>600.10029999999995</v>
      </c>
      <c r="J527" s="697" t="s">
        <v>318</v>
      </c>
      <c r="K527" s="297"/>
      <c r="L527" s="464">
        <v>730</v>
      </c>
      <c r="M527" s="464">
        <v>730</v>
      </c>
      <c r="N527" s="562"/>
      <c r="O527" s="298"/>
      <c r="P527" s="247"/>
      <c r="Q527" s="247"/>
      <c r="R527" s="247"/>
      <c r="S527" s="247"/>
      <c r="T527" s="298"/>
      <c r="U527" s="298">
        <v>9023000</v>
      </c>
      <c r="V527" s="298"/>
    </row>
    <row r="528" spans="1:22">
      <c r="A528" s="396"/>
      <c r="B528" s="292"/>
      <c r="C528" s="293"/>
      <c r="D528" s="293"/>
      <c r="E528" s="293"/>
      <c r="F528" s="293"/>
      <c r="G528" s="293"/>
      <c r="H528" s="294"/>
      <c r="I528" s="295">
        <v>600.10050000000001</v>
      </c>
      <c r="J528" s="697" t="s">
        <v>319</v>
      </c>
      <c r="K528" s="297"/>
      <c r="L528" s="464">
        <v>9142</v>
      </c>
      <c r="M528" s="464">
        <v>9142</v>
      </c>
      <c r="N528" s="562"/>
      <c r="O528" s="298"/>
      <c r="P528" s="247"/>
      <c r="Q528" s="247"/>
      <c r="R528" s="247"/>
      <c r="S528" s="247"/>
      <c r="T528" s="298"/>
      <c r="U528" s="298">
        <f>U526-U527</f>
        <v>1029500</v>
      </c>
      <c r="V528" s="298"/>
    </row>
    <row r="529" spans="1:22">
      <c r="A529" s="396"/>
      <c r="B529" s="292"/>
      <c r="C529" s="293"/>
      <c r="D529" s="293"/>
      <c r="E529" s="293"/>
      <c r="F529" s="293"/>
      <c r="G529" s="293"/>
      <c r="H529" s="294"/>
      <c r="I529" s="295"/>
      <c r="J529" s="697" t="s">
        <v>326</v>
      </c>
      <c r="K529" s="297"/>
      <c r="L529" s="464">
        <v>290</v>
      </c>
      <c r="M529" s="464">
        <v>290</v>
      </c>
      <c r="N529" s="562"/>
      <c r="O529" s="247"/>
      <c r="P529" s="247"/>
      <c r="Q529" s="247"/>
      <c r="R529" s="247"/>
      <c r="S529" s="247"/>
      <c r="T529" s="298"/>
      <c r="U529" s="298"/>
      <c r="V529" s="298"/>
    </row>
    <row r="530" spans="1:22">
      <c r="A530" s="396"/>
      <c r="B530" s="299"/>
      <c r="C530" s="293"/>
      <c r="D530" s="293"/>
      <c r="E530" s="293"/>
      <c r="F530" s="293"/>
      <c r="G530" s="293"/>
      <c r="H530" s="294"/>
      <c r="I530" s="295">
        <v>600.20000000000005</v>
      </c>
      <c r="J530" s="697" t="s">
        <v>320</v>
      </c>
      <c r="K530" s="297"/>
      <c r="L530" s="464"/>
      <c r="M530" s="464"/>
      <c r="N530" s="562"/>
      <c r="O530" s="247"/>
      <c r="P530" s="247"/>
      <c r="Q530" s="247"/>
      <c r="R530" s="247"/>
      <c r="S530" s="247"/>
      <c r="T530" s="247"/>
      <c r="U530" s="247"/>
      <c r="V530" s="247"/>
    </row>
    <row r="531" spans="1:22">
      <c r="A531" s="396"/>
      <c r="B531" s="299"/>
      <c r="C531" s="293"/>
      <c r="D531" s="293"/>
      <c r="E531" s="293"/>
      <c r="F531" s="293"/>
      <c r="G531" s="293"/>
      <c r="H531" s="294"/>
      <c r="I531" s="295">
        <v>600.21</v>
      </c>
      <c r="J531" s="697" t="s">
        <v>321</v>
      </c>
      <c r="K531" s="297"/>
      <c r="L531" s="464"/>
      <c r="M531" s="464"/>
      <c r="N531" s="562"/>
      <c r="O531" s="298"/>
      <c r="P531" s="247"/>
      <c r="Q531" s="247"/>
      <c r="R531" s="247"/>
      <c r="S531" s="209"/>
      <c r="T531" s="209"/>
      <c r="U531" s="209"/>
      <c r="V531" s="247"/>
    </row>
    <row r="532" spans="1:22">
      <c r="A532" s="396"/>
      <c r="B532" s="299"/>
      <c r="C532" s="293"/>
      <c r="D532" s="293"/>
      <c r="E532" s="293"/>
      <c r="F532" s="293"/>
      <c r="G532" s="293"/>
      <c r="H532" s="294"/>
      <c r="I532" s="295">
        <v>600.22</v>
      </c>
      <c r="J532" s="697" t="s">
        <v>322</v>
      </c>
      <c r="K532" s="297"/>
      <c r="L532" s="464"/>
      <c r="M532" s="464"/>
      <c r="N532" s="562"/>
      <c r="O532" s="247"/>
      <c r="P532" s="247"/>
      <c r="Q532" s="247"/>
      <c r="R532" s="247"/>
      <c r="S532" s="247"/>
      <c r="T532" s="247"/>
      <c r="U532" s="247"/>
      <c r="V532" s="247"/>
    </row>
    <row r="533" spans="1:22">
      <c r="A533" s="396"/>
      <c r="B533" s="299"/>
      <c r="C533" s="293"/>
      <c r="D533" s="293"/>
      <c r="E533" s="293"/>
      <c r="F533" s="293"/>
      <c r="G533" s="293"/>
      <c r="H533" s="294"/>
      <c r="I533" s="295">
        <v>600.29</v>
      </c>
      <c r="J533" s="697" t="s">
        <v>323</v>
      </c>
      <c r="K533" s="297"/>
      <c r="L533" s="464"/>
      <c r="M533" s="464"/>
      <c r="N533" s="562"/>
      <c r="O533" s="247"/>
      <c r="P533" s="247"/>
      <c r="Q533" s="247"/>
      <c r="R533" s="247"/>
      <c r="S533" s="247"/>
      <c r="T533" s="247"/>
      <c r="U533" s="247"/>
      <c r="V533" s="247"/>
    </row>
    <row r="534" spans="1:22">
      <c r="A534" s="396"/>
      <c r="B534" s="299"/>
      <c r="C534" s="293"/>
      <c r="D534" s="293"/>
      <c r="E534" s="293"/>
      <c r="F534" s="293"/>
      <c r="G534" s="293"/>
      <c r="H534" s="294"/>
      <c r="I534" s="295">
        <v>600.29999999999995</v>
      </c>
      <c r="J534" s="697" t="s">
        <v>324</v>
      </c>
      <c r="K534" s="297"/>
      <c r="L534" s="464"/>
      <c r="M534" s="464"/>
      <c r="N534" s="562"/>
      <c r="O534" s="298"/>
      <c r="P534" s="247"/>
      <c r="Q534" s="247"/>
      <c r="R534" s="247"/>
      <c r="S534" s="319"/>
      <c r="T534" s="319"/>
      <c r="U534" s="319"/>
      <c r="V534" s="247"/>
    </row>
    <row r="535" spans="1:22">
      <c r="A535" s="396"/>
      <c r="B535" s="299"/>
      <c r="C535" s="293"/>
      <c r="D535" s="293"/>
      <c r="E535" s="293"/>
      <c r="F535" s="293"/>
      <c r="G535" s="293"/>
      <c r="H535" s="294"/>
      <c r="I535" s="295">
        <v>600.30999999999995</v>
      </c>
      <c r="J535" s="697" t="s">
        <v>325</v>
      </c>
      <c r="K535" s="297"/>
      <c r="L535" s="464"/>
      <c r="M535" s="464"/>
      <c r="N535" s="562"/>
      <c r="O535" s="149"/>
      <c r="P535" s="247"/>
      <c r="Q535" s="247"/>
      <c r="R535" s="247"/>
      <c r="V535" s="247"/>
    </row>
    <row r="536" spans="1:22">
      <c r="A536" s="396"/>
      <c r="B536" s="299"/>
      <c r="C536" s="293"/>
      <c r="D536" s="293"/>
      <c r="E536" s="293"/>
      <c r="F536" s="293"/>
      <c r="G536" s="293"/>
      <c r="H536" s="294"/>
      <c r="I536" s="295"/>
      <c r="J536" s="697" t="s">
        <v>323</v>
      </c>
      <c r="K536" s="297"/>
      <c r="L536" s="465"/>
      <c r="M536" s="465"/>
      <c r="N536" s="563"/>
      <c r="O536" s="512"/>
      <c r="P536" s="512"/>
      <c r="Q536" s="513"/>
      <c r="R536" s="513"/>
      <c r="S536" s="512"/>
      <c r="T536" s="512"/>
      <c r="V536" s="247"/>
    </row>
    <row r="537" spans="1:22" ht="13.5" thickBot="1">
      <c r="A537" s="396"/>
      <c r="B537" s="300"/>
      <c r="C537" s="301"/>
      <c r="D537" s="301"/>
      <c r="E537" s="301"/>
      <c r="F537" s="301"/>
      <c r="G537" s="301"/>
      <c r="H537" s="302"/>
      <c r="I537" s="303">
        <v>600.9</v>
      </c>
      <c r="J537" s="698" t="s">
        <v>327</v>
      </c>
      <c r="K537" s="305"/>
      <c r="L537" s="717"/>
      <c r="M537" s="717"/>
      <c r="N537" s="563"/>
      <c r="O537" s="149"/>
      <c r="P537" s="247"/>
      <c r="Q537" s="247"/>
      <c r="R537" s="247"/>
      <c r="V537" s="247"/>
    </row>
    <row r="538" spans="1:22" ht="13.5" thickBot="1">
      <c r="A538" s="383"/>
      <c r="B538" s="280"/>
      <c r="C538" s="281"/>
      <c r="D538" s="281"/>
      <c r="E538" s="281"/>
      <c r="F538" s="281"/>
      <c r="G538" s="281"/>
      <c r="H538" s="693">
        <v>601</v>
      </c>
      <c r="I538" s="283"/>
      <c r="J538" s="284" t="s">
        <v>328</v>
      </c>
      <c r="K538" s="285">
        <v>8170</v>
      </c>
      <c r="L538" s="285">
        <f>SUM(L539+L540)</f>
        <v>2082</v>
      </c>
      <c r="M538" s="719">
        <f>SUM(M539+M540)</f>
        <v>2082</v>
      </c>
      <c r="N538" s="285"/>
      <c r="O538" s="149"/>
      <c r="P538" s="247"/>
      <c r="Q538" s="247"/>
      <c r="R538" s="247"/>
      <c r="V538" s="209"/>
    </row>
    <row r="539" spans="1:22">
      <c r="A539" s="396"/>
      <c r="B539" s="306"/>
      <c r="C539" s="307"/>
      <c r="D539" s="307"/>
      <c r="E539" s="307"/>
      <c r="F539" s="307"/>
      <c r="G539" s="307"/>
      <c r="H539" s="308"/>
      <c r="I539" s="309">
        <v>601.01</v>
      </c>
      <c r="J539" s="696" t="s">
        <v>329</v>
      </c>
      <c r="K539" s="310"/>
      <c r="L539" s="463">
        <v>1870</v>
      </c>
      <c r="M539" s="463">
        <v>1870</v>
      </c>
      <c r="N539" s="562"/>
      <c r="O539" s="149"/>
      <c r="P539" s="247"/>
      <c r="Q539" s="247"/>
      <c r="R539" s="247"/>
      <c r="V539" s="247"/>
    </row>
    <row r="540" spans="1:22" ht="13.5" thickBot="1">
      <c r="A540" s="396"/>
      <c r="B540" s="300"/>
      <c r="C540" s="301"/>
      <c r="D540" s="301"/>
      <c r="E540" s="301"/>
      <c r="F540" s="301"/>
      <c r="G540" s="301"/>
      <c r="H540" s="302"/>
      <c r="I540" s="311">
        <v>601.11</v>
      </c>
      <c r="J540" s="698" t="s">
        <v>330</v>
      </c>
      <c r="K540" s="312"/>
      <c r="L540" s="467">
        <v>212</v>
      </c>
      <c r="M540" s="467">
        <v>212</v>
      </c>
      <c r="N540" s="562"/>
      <c r="O540" s="149"/>
      <c r="P540" s="247"/>
      <c r="Q540" s="247"/>
      <c r="R540" s="247"/>
      <c r="V540" s="247"/>
    </row>
    <row r="541" spans="1:22" ht="13.5" thickBot="1">
      <c r="A541" s="397"/>
      <c r="B541" s="313"/>
      <c r="C541" s="314"/>
      <c r="D541" s="314"/>
      <c r="E541" s="314"/>
      <c r="F541" s="314"/>
      <c r="G541" s="314"/>
      <c r="H541" s="693">
        <v>602</v>
      </c>
      <c r="I541" s="316"/>
      <c r="J541" s="284" t="s">
        <v>170</v>
      </c>
      <c r="K541" s="285">
        <v>17700</v>
      </c>
      <c r="L541" s="285">
        <f>SUM(L542+L549+L562+L577+L582+L585+L594+L600+L607+L610)</f>
        <v>9491</v>
      </c>
      <c r="M541" s="719">
        <f>SUM(M542+M549+M562+M577+M582+M585+M594+M600+M607+M610)</f>
        <v>9273</v>
      </c>
      <c r="N541" s="318"/>
      <c r="O541" s="682"/>
      <c r="P541" s="247"/>
      <c r="Q541" s="247"/>
      <c r="R541" s="285">
        <f>SUM(R542+R549+R562+R577+R582+R585+R594+R600+R607+R610)</f>
        <v>9490225</v>
      </c>
      <c r="V541" s="319"/>
    </row>
    <row r="542" spans="1:22" ht="13.5" thickBot="1">
      <c r="A542" s="163"/>
      <c r="B542" s="320"/>
      <c r="C542" s="321"/>
      <c r="D542" s="321"/>
      <c r="E542" s="321"/>
      <c r="F542" s="321"/>
      <c r="G542" s="321"/>
      <c r="H542" s="322"/>
      <c r="I542" s="323">
        <v>6020</v>
      </c>
      <c r="J542" s="324" t="s">
        <v>331</v>
      </c>
      <c r="K542" s="472">
        <f>SUM(K543+K544+K545+K546+K547+K548)</f>
        <v>0</v>
      </c>
      <c r="L542" s="476">
        <f>SUM(L543+L544+L545+L546+L547+L548)</f>
        <v>733</v>
      </c>
      <c r="M542" s="476">
        <f>SUM(M543+M544+M545+M546+M547+M548)</f>
        <v>733</v>
      </c>
      <c r="N542" s="564"/>
      <c r="O542" s="149"/>
      <c r="P542" s="247"/>
      <c r="Q542" s="247"/>
      <c r="R542" s="476">
        <f>SUM(R543+R544+R545+R546+R547+R548)</f>
        <v>733150</v>
      </c>
    </row>
    <row r="543" spans="1:22">
      <c r="A543" s="163"/>
      <c r="B543" s="332"/>
      <c r="C543" s="333"/>
      <c r="D543" s="333"/>
      <c r="E543" s="333"/>
      <c r="F543" s="333"/>
      <c r="G543" s="333"/>
      <c r="H543" s="334"/>
      <c r="I543" s="335" t="s">
        <v>11</v>
      </c>
      <c r="J543" s="336" t="s">
        <v>172</v>
      </c>
      <c r="K543" s="337"/>
      <c r="L543" s="469">
        <v>223</v>
      </c>
      <c r="M543" s="469">
        <v>223</v>
      </c>
      <c r="N543" s="723"/>
      <c r="O543" s="149"/>
      <c r="P543" s="247"/>
      <c r="Q543" s="247"/>
      <c r="R543" s="469">
        <v>223150</v>
      </c>
    </row>
    <row r="544" spans="1:22">
      <c r="A544" s="163"/>
      <c r="B544" s="352"/>
      <c r="C544" s="353"/>
      <c r="D544" s="353"/>
      <c r="E544" s="353"/>
      <c r="F544" s="353"/>
      <c r="G544" s="353"/>
      <c r="H544" s="354"/>
      <c r="I544" s="360">
        <v>602.02</v>
      </c>
      <c r="J544" s="361" t="s">
        <v>332</v>
      </c>
      <c r="K544" s="357"/>
      <c r="L544" s="473">
        <v>65</v>
      </c>
      <c r="M544" s="473">
        <v>65</v>
      </c>
      <c r="N544" s="565"/>
      <c r="O544" s="149"/>
      <c r="P544" s="247"/>
      <c r="Q544" s="247"/>
      <c r="R544" s="473">
        <v>65000</v>
      </c>
    </row>
    <row r="545" spans="1:18">
      <c r="A545" s="163"/>
      <c r="B545" s="339"/>
      <c r="C545" s="340"/>
      <c r="D545" s="340"/>
      <c r="E545" s="340"/>
      <c r="F545" s="340"/>
      <c r="G545" s="340"/>
      <c r="H545" s="150"/>
      <c r="I545" s="341">
        <v>602.03</v>
      </c>
      <c r="J545" s="342" t="s">
        <v>333</v>
      </c>
      <c r="K545" s="343"/>
      <c r="L545" s="470">
        <v>37</v>
      </c>
      <c r="M545" s="470">
        <v>37</v>
      </c>
      <c r="N545" s="565"/>
      <c r="O545" s="149"/>
      <c r="P545" s="247"/>
      <c r="Q545" s="247"/>
      <c r="R545" s="470">
        <v>37000</v>
      </c>
    </row>
    <row r="546" spans="1:18">
      <c r="A546" s="163"/>
      <c r="B546" s="339"/>
      <c r="C546" s="340"/>
      <c r="D546" s="340"/>
      <c r="E546" s="340"/>
      <c r="F546" s="340"/>
      <c r="G546" s="340"/>
      <c r="H546" s="150"/>
      <c r="I546" s="341">
        <v>602.04</v>
      </c>
      <c r="J546" s="342" t="s">
        <v>334</v>
      </c>
      <c r="K546" s="343"/>
      <c r="L546" s="470"/>
      <c r="M546" s="470"/>
      <c r="N546" s="565"/>
      <c r="O546" s="149"/>
      <c r="P546" s="247"/>
      <c r="Q546" s="247"/>
      <c r="R546" s="470"/>
    </row>
    <row r="547" spans="1:18">
      <c r="A547" s="163"/>
      <c r="B547" s="339"/>
      <c r="C547" s="340"/>
      <c r="D547" s="340"/>
      <c r="E547" s="340"/>
      <c r="F547" s="340"/>
      <c r="G547" s="340"/>
      <c r="H547" s="150"/>
      <c r="I547" s="341">
        <v>602.04999999999995</v>
      </c>
      <c r="J547" s="342" t="s">
        <v>176</v>
      </c>
      <c r="K547" s="343"/>
      <c r="L547" s="470"/>
      <c r="M547" s="470"/>
      <c r="N547" s="565"/>
      <c r="O547" s="149"/>
      <c r="P547" s="298"/>
      <c r="Q547" s="247"/>
      <c r="R547" s="470"/>
    </row>
    <row r="548" spans="1:18" ht="13.5" thickBot="1">
      <c r="A548" s="163"/>
      <c r="B548" s="345"/>
      <c r="C548" s="346"/>
      <c r="D548" s="346"/>
      <c r="E548" s="346"/>
      <c r="F548" s="346"/>
      <c r="G548" s="346"/>
      <c r="H548" s="164"/>
      <c r="I548" s="347">
        <v>602.09</v>
      </c>
      <c r="J548" s="348" t="s">
        <v>335</v>
      </c>
      <c r="K548" s="349"/>
      <c r="L548" s="471">
        <v>408</v>
      </c>
      <c r="M548" s="471">
        <v>408</v>
      </c>
      <c r="N548" s="565"/>
      <c r="O548" s="149"/>
      <c r="P548" s="247"/>
      <c r="Q548" s="247"/>
      <c r="R548" s="471">
        <v>408000</v>
      </c>
    </row>
    <row r="549" spans="1:18" ht="13.5" thickBot="1">
      <c r="A549" s="163"/>
      <c r="B549" s="320"/>
      <c r="C549" s="321"/>
      <c r="D549" s="321"/>
      <c r="E549" s="321"/>
      <c r="F549" s="321"/>
      <c r="G549" s="321"/>
      <c r="H549" s="322"/>
      <c r="I549" s="323">
        <v>602.1</v>
      </c>
      <c r="J549" s="324" t="s">
        <v>336</v>
      </c>
      <c r="K549" s="351">
        <f>SUM(K550+K551+K552+K553+K554+K555+K556+K557+K558+K559+K560+K561)</f>
        <v>0</v>
      </c>
      <c r="L549" s="472">
        <f>SUM(L550+L551+L552+L553+L554+L555+L556+L557+L558+L559+L560+L561)</f>
        <v>0</v>
      </c>
      <c r="M549" s="472">
        <v>0</v>
      </c>
      <c r="N549" s="472"/>
      <c r="O549" s="149"/>
      <c r="P549" s="247"/>
      <c r="Q549" s="247"/>
      <c r="R549" s="472">
        <f>SUM(R550+R551+R552+R553+R554+R555+R556+R557+R558+R559+R560+R561)</f>
        <v>0</v>
      </c>
    </row>
    <row r="550" spans="1:18">
      <c r="A550" s="163"/>
      <c r="B550" s="352"/>
      <c r="C550" s="353"/>
      <c r="D550" s="353"/>
      <c r="E550" s="353"/>
      <c r="F550" s="353"/>
      <c r="G550" s="353"/>
      <c r="H550" s="354"/>
      <c r="I550" s="355">
        <v>602.1001</v>
      </c>
      <c r="J550" s="699" t="s">
        <v>337</v>
      </c>
      <c r="K550" s="357"/>
      <c r="L550" s="473"/>
      <c r="M550" s="473"/>
      <c r="N550" s="565"/>
      <c r="O550" s="149"/>
      <c r="P550" s="247"/>
      <c r="Q550" s="247"/>
      <c r="R550" s="473"/>
    </row>
    <row r="551" spans="1:18">
      <c r="A551" s="163"/>
      <c r="B551" s="339"/>
      <c r="C551" s="340"/>
      <c r="D551" s="340"/>
      <c r="E551" s="340"/>
      <c r="F551" s="340"/>
      <c r="G551" s="340"/>
      <c r="H551" s="150"/>
      <c r="I551" s="358">
        <v>602.10019999999997</v>
      </c>
      <c r="J551" s="700" t="s">
        <v>338</v>
      </c>
      <c r="K551" s="343"/>
      <c r="L551" s="470"/>
      <c r="M551" s="470"/>
      <c r="N551" s="565"/>
      <c r="O551" s="149"/>
      <c r="P551" s="247"/>
      <c r="Q551" s="247"/>
      <c r="R551" s="470"/>
    </row>
    <row r="552" spans="1:18">
      <c r="A552" s="163"/>
      <c r="B552" s="339"/>
      <c r="C552" s="340"/>
      <c r="D552" s="340"/>
      <c r="E552" s="340"/>
      <c r="F552" s="340"/>
      <c r="G552" s="340"/>
      <c r="H552" s="150"/>
      <c r="I552" s="358">
        <v>602.10029999999995</v>
      </c>
      <c r="J552" s="700" t="s">
        <v>339</v>
      </c>
      <c r="K552" s="343"/>
      <c r="L552" s="470"/>
      <c r="M552" s="470"/>
      <c r="N552" s="565"/>
      <c r="O552" s="149"/>
      <c r="Q552" s="247"/>
      <c r="R552" s="470"/>
    </row>
    <row r="553" spans="1:18">
      <c r="A553" s="163"/>
      <c r="B553" s="339"/>
      <c r="C553" s="340"/>
      <c r="D553" s="340"/>
      <c r="E553" s="340"/>
      <c r="F553" s="340"/>
      <c r="G553" s="340"/>
      <c r="H553" s="150"/>
      <c r="I553" s="358">
        <v>602.10040000000004</v>
      </c>
      <c r="J553" s="700" t="s">
        <v>340</v>
      </c>
      <c r="K553" s="343"/>
      <c r="L553" s="470"/>
      <c r="M553" s="470"/>
      <c r="N553" s="565"/>
      <c r="O553" s="149"/>
      <c r="Q553" s="247"/>
      <c r="R553" s="470"/>
    </row>
    <row r="554" spans="1:18">
      <c r="A554" s="163"/>
      <c r="B554" s="339"/>
      <c r="C554" s="340"/>
      <c r="D554" s="340"/>
      <c r="E554" s="340"/>
      <c r="F554" s="340"/>
      <c r="G554" s="340"/>
      <c r="H554" s="150"/>
      <c r="I554" s="358">
        <v>602.10050000000001</v>
      </c>
      <c r="J554" s="700" t="s">
        <v>341</v>
      </c>
      <c r="K554" s="343"/>
      <c r="L554" s="470"/>
      <c r="M554" s="470"/>
      <c r="N554" s="565"/>
      <c r="O554" s="149"/>
      <c r="Q554" s="247"/>
      <c r="R554" s="470"/>
    </row>
    <row r="555" spans="1:18">
      <c r="A555" s="163"/>
      <c r="B555" s="339"/>
      <c r="C555" s="340"/>
      <c r="D555" s="340"/>
      <c r="E555" s="340"/>
      <c r="F555" s="340"/>
      <c r="G555" s="340"/>
      <c r="H555" s="150"/>
      <c r="I555" s="358">
        <v>602.10059999999999</v>
      </c>
      <c r="J555" s="700" t="s">
        <v>342</v>
      </c>
      <c r="K555" s="343"/>
      <c r="L555" s="470"/>
      <c r="M555" s="470"/>
      <c r="N555" s="565"/>
      <c r="O555" s="149"/>
      <c r="Q555" s="247"/>
      <c r="R555" s="470"/>
    </row>
    <row r="556" spans="1:18">
      <c r="A556" s="163"/>
      <c r="B556" s="339"/>
      <c r="C556" s="340"/>
      <c r="D556" s="340"/>
      <c r="E556" s="340"/>
      <c r="F556" s="340"/>
      <c r="G556" s="340"/>
      <c r="H556" s="150"/>
      <c r="I556" s="358">
        <v>602.10069999999996</v>
      </c>
      <c r="J556" s="700" t="s">
        <v>185</v>
      </c>
      <c r="K556" s="343"/>
      <c r="L556" s="470"/>
      <c r="M556" s="470"/>
      <c r="N556" s="565"/>
      <c r="O556" s="149"/>
      <c r="Q556" s="247"/>
      <c r="R556" s="470"/>
    </row>
    <row r="557" spans="1:18">
      <c r="A557" s="163"/>
      <c r="B557" s="339"/>
      <c r="C557" s="340"/>
      <c r="D557" s="340"/>
      <c r="E557" s="340"/>
      <c r="F557" s="340"/>
      <c r="G557" s="340"/>
      <c r="H557" s="150"/>
      <c r="I557" s="358">
        <v>602.10080000000005</v>
      </c>
      <c r="J557" s="700" t="s">
        <v>343</v>
      </c>
      <c r="K557" s="343"/>
      <c r="L557" s="470"/>
      <c r="M557" s="470"/>
      <c r="N557" s="565"/>
      <c r="O557" s="149"/>
      <c r="Q557" s="247"/>
      <c r="R557" s="470"/>
    </row>
    <row r="558" spans="1:18">
      <c r="A558" s="163"/>
      <c r="B558" s="339"/>
      <c r="C558" s="340"/>
      <c r="D558" s="340"/>
      <c r="E558" s="340"/>
      <c r="F558" s="340"/>
      <c r="G558" s="340"/>
      <c r="H558" s="150"/>
      <c r="I558" s="358">
        <v>602.10090000000002</v>
      </c>
      <c r="J558" s="700" t="s">
        <v>344</v>
      </c>
      <c r="K558" s="344"/>
      <c r="L558" s="474"/>
      <c r="M558" s="474"/>
      <c r="N558" s="567"/>
      <c r="O558" s="149"/>
      <c r="Q558" s="247"/>
      <c r="R558" s="474"/>
    </row>
    <row r="559" spans="1:18">
      <c r="A559" s="163"/>
      <c r="B559" s="339"/>
      <c r="C559" s="340"/>
      <c r="D559" s="340"/>
      <c r="E559" s="340"/>
      <c r="F559" s="340"/>
      <c r="G559" s="340"/>
      <c r="H559" s="150"/>
      <c r="I559" s="358">
        <v>602.101</v>
      </c>
      <c r="J559" s="700" t="s">
        <v>345</v>
      </c>
      <c r="K559" s="344"/>
      <c r="L559" s="474"/>
      <c r="M559" s="474"/>
      <c r="N559" s="567"/>
      <c r="O559" s="149"/>
      <c r="Q559" s="247"/>
      <c r="R559" s="474"/>
    </row>
    <row r="560" spans="1:18">
      <c r="A560" s="163"/>
      <c r="B560" s="339"/>
      <c r="C560" s="340"/>
      <c r="D560" s="340"/>
      <c r="E560" s="340"/>
      <c r="F560" s="340"/>
      <c r="G560" s="340"/>
      <c r="H560" s="150"/>
      <c r="I560" s="341">
        <v>602.10109999999997</v>
      </c>
      <c r="J560" s="700" t="s">
        <v>346</v>
      </c>
      <c r="K560" s="344"/>
      <c r="L560" s="474"/>
      <c r="M560" s="474"/>
      <c r="N560" s="567"/>
      <c r="O560" s="149"/>
      <c r="Q560" s="247"/>
      <c r="R560" s="474"/>
    </row>
    <row r="561" spans="1:20" ht="13.5" thickBot="1">
      <c r="A561" s="163"/>
      <c r="B561" s="367"/>
      <c r="C561" s="368"/>
      <c r="D561" s="368"/>
      <c r="E561" s="368"/>
      <c r="F561" s="368"/>
      <c r="G561" s="368"/>
      <c r="H561" s="369"/>
      <c r="I561" s="370">
        <v>602.10990000000004</v>
      </c>
      <c r="J561" s="701" t="s">
        <v>347</v>
      </c>
      <c r="K561" s="378"/>
      <c r="L561" s="475"/>
      <c r="M561" s="475"/>
      <c r="N561" s="567"/>
      <c r="O561" s="149"/>
      <c r="Q561" s="247"/>
      <c r="R561" s="475"/>
    </row>
    <row r="562" spans="1:20" ht="13.5" thickBot="1">
      <c r="A562" s="163"/>
      <c r="B562" s="320"/>
      <c r="C562" s="321"/>
      <c r="D562" s="321"/>
      <c r="E562" s="321"/>
      <c r="F562" s="321"/>
      <c r="G562" s="321"/>
      <c r="H562" s="322"/>
      <c r="I562" s="323">
        <v>602.20000000000005</v>
      </c>
      <c r="J562" s="324" t="s">
        <v>348</v>
      </c>
      <c r="K562" s="351">
        <f>SUM(K563+K564+K565+K566+K567+K568+K569+K570+K571+K572+K573+K574+K575+K576)</f>
        <v>0</v>
      </c>
      <c r="L562" s="476">
        <f>SUM(L563+L564+L565+L568+L569+L570+L571+L572+L573+L574+L575+L576)</f>
        <v>1744</v>
      </c>
      <c r="M562" s="722">
        <f>SUM(M563+M564+M565+M568+M569+M570+M571+M572+M573+M574+M575+M576)</f>
        <v>1620</v>
      </c>
      <c r="N562" s="476"/>
      <c r="O562" s="149"/>
      <c r="Q562" s="247"/>
      <c r="R562" s="476">
        <f>SUM(R563+R564+R565+R568+R569+R570+R571+R572+R573+R574+R575+R576)</f>
        <v>1743285</v>
      </c>
    </row>
    <row r="563" spans="1:20">
      <c r="A563" s="163"/>
      <c r="B563" s="352"/>
      <c r="C563" s="353"/>
      <c r="D563" s="353"/>
      <c r="E563" s="353"/>
      <c r="F563" s="353"/>
      <c r="G563" s="353"/>
      <c r="H563" s="354"/>
      <c r="I563" s="360">
        <v>602.20010000000002</v>
      </c>
      <c r="J563" s="361" t="s">
        <v>192</v>
      </c>
      <c r="K563" s="362"/>
      <c r="L563" s="714">
        <v>559</v>
      </c>
      <c r="M563" s="714">
        <v>559</v>
      </c>
      <c r="N563" s="568"/>
      <c r="O563" s="149"/>
      <c r="Q563" s="247"/>
      <c r="R563" s="714">
        <v>558947</v>
      </c>
    </row>
    <row r="564" spans="1:20">
      <c r="A564" s="163"/>
      <c r="B564" s="339"/>
      <c r="C564" s="340"/>
      <c r="D564" s="340"/>
      <c r="E564" s="340"/>
      <c r="F564" s="340"/>
      <c r="G564" s="340"/>
      <c r="H564" s="150"/>
      <c r="I564" s="341">
        <v>602.2002</v>
      </c>
      <c r="J564" s="342" t="s">
        <v>349</v>
      </c>
      <c r="K564" s="344"/>
      <c r="L564" s="474">
        <v>0</v>
      </c>
      <c r="M564" s="721">
        <v>0</v>
      </c>
      <c r="N564" s="567"/>
      <c r="O564" s="149"/>
      <c r="Q564" s="247"/>
      <c r="R564" s="474">
        <v>0</v>
      </c>
    </row>
    <row r="565" spans="1:20">
      <c r="A565" s="163"/>
      <c r="B565" s="339"/>
      <c r="C565" s="340"/>
      <c r="D565" s="340"/>
      <c r="E565" s="340"/>
      <c r="F565" s="340"/>
      <c r="G565" s="340"/>
      <c r="H565" s="150"/>
      <c r="I565" s="341">
        <v>602.20029999999997</v>
      </c>
      <c r="J565" s="342" t="s">
        <v>350</v>
      </c>
      <c r="K565" s="344"/>
      <c r="L565" s="478">
        <f>L566+L567</f>
        <v>663</v>
      </c>
      <c r="M565" s="478">
        <f>SUM(M566:M567)</f>
        <v>567</v>
      </c>
      <c r="N565" s="569"/>
      <c r="O565" s="149"/>
      <c r="Q565" s="247"/>
      <c r="R565" s="478">
        <f>R566+R567</f>
        <v>662694</v>
      </c>
    </row>
    <row r="566" spans="1:20">
      <c r="A566" s="163"/>
      <c r="B566" s="339"/>
      <c r="C566" s="340"/>
      <c r="D566" s="340"/>
      <c r="E566" s="340"/>
      <c r="F566" s="340"/>
      <c r="G566" s="340"/>
      <c r="H566" s="150"/>
      <c r="I566" s="341"/>
      <c r="J566" s="363" t="s">
        <v>195</v>
      </c>
      <c r="K566" s="344"/>
      <c r="L566" s="715">
        <v>531</v>
      </c>
      <c r="M566" s="715">
        <f>531-96</f>
        <v>435</v>
      </c>
      <c r="N566" s="570"/>
      <c r="O566" s="149">
        <v>-95779</v>
      </c>
      <c r="Q566" s="247"/>
      <c r="R566" s="715">
        <f>122256+121920+101178+89960+95779</f>
        <v>531093</v>
      </c>
    </row>
    <row r="567" spans="1:20">
      <c r="A567" s="163"/>
      <c r="B567" s="339"/>
      <c r="C567" s="340"/>
      <c r="D567" s="340"/>
      <c r="E567" s="340"/>
      <c r="F567" s="340"/>
      <c r="G567" s="340"/>
      <c r="H567" s="150"/>
      <c r="I567" s="341"/>
      <c r="J567" s="363" t="s">
        <v>196</v>
      </c>
      <c r="K567" s="344"/>
      <c r="L567" s="479">
        <v>132</v>
      </c>
      <c r="M567" s="479">
        <v>132</v>
      </c>
      <c r="N567" s="571"/>
      <c r="O567" s="149"/>
      <c r="Q567" s="247"/>
      <c r="R567" s="479">
        <f>31811+33999+28125+17507+20159</f>
        <v>131601</v>
      </c>
    </row>
    <row r="568" spans="1:20">
      <c r="A568" s="163"/>
      <c r="B568" s="339"/>
      <c r="C568" s="340"/>
      <c r="D568" s="340"/>
      <c r="E568" s="340"/>
      <c r="F568" s="340"/>
      <c r="G568" s="340"/>
      <c r="H568" s="150"/>
      <c r="I568" s="341">
        <v>602.20039999999995</v>
      </c>
      <c r="J568" s="342" t="s">
        <v>351</v>
      </c>
      <c r="K568" s="344"/>
      <c r="L568" s="716">
        <v>253</v>
      </c>
      <c r="M568" s="716">
        <f>253-28</f>
        <v>225</v>
      </c>
      <c r="N568" s="572"/>
      <c r="O568" s="149">
        <v>-28080</v>
      </c>
      <c r="Q568" s="247"/>
      <c r="R568" s="716">
        <v>253044</v>
      </c>
    </row>
    <row r="569" spans="1:20">
      <c r="A569" s="163"/>
      <c r="B569" s="339"/>
      <c r="C569" s="340"/>
      <c r="D569" s="340"/>
      <c r="E569" s="340"/>
      <c r="F569" s="340"/>
      <c r="G569" s="340"/>
      <c r="H569" s="150"/>
      <c r="I569" s="341">
        <v>602.20050000000003</v>
      </c>
      <c r="J569" s="342" t="s">
        <v>352</v>
      </c>
      <c r="K569" s="344"/>
      <c r="L569" s="474">
        <v>175</v>
      </c>
      <c r="M569" s="474">
        <v>175</v>
      </c>
      <c r="N569" s="567"/>
      <c r="O569" s="512"/>
      <c r="P569" s="512"/>
      <c r="Q569" s="513"/>
      <c r="R569" s="474">
        <v>175000</v>
      </c>
      <c r="S569" s="512"/>
      <c r="T569" s="512"/>
    </row>
    <row r="570" spans="1:20">
      <c r="A570" s="163"/>
      <c r="B570" s="339"/>
      <c r="C570" s="340"/>
      <c r="D570" s="340"/>
      <c r="E570" s="340"/>
      <c r="F570" s="340"/>
      <c r="G570" s="340"/>
      <c r="H570" s="150"/>
      <c r="I570" s="341">
        <v>602.20060000000001</v>
      </c>
      <c r="J570" s="342" t="s">
        <v>353</v>
      </c>
      <c r="K570" s="344"/>
      <c r="L570" s="474"/>
      <c r="M570" s="713"/>
      <c r="N570" s="567"/>
      <c r="O570" s="512"/>
      <c r="P570" s="512"/>
      <c r="Q570" s="513"/>
      <c r="R570" s="474"/>
    </row>
    <row r="571" spans="1:20">
      <c r="A571" s="163"/>
      <c r="B571" s="339"/>
      <c r="C571" s="340"/>
      <c r="D571" s="340"/>
      <c r="E571" s="340"/>
      <c r="F571" s="340"/>
      <c r="G571" s="340"/>
      <c r="H571" s="150"/>
      <c r="I571" s="341">
        <v>602.20069999999998</v>
      </c>
      <c r="J571" s="342" t="s">
        <v>354</v>
      </c>
      <c r="K571" s="344"/>
      <c r="L571" s="474"/>
      <c r="M571" s="713"/>
      <c r="N571" s="567"/>
      <c r="O571" s="512"/>
      <c r="P571" s="512"/>
      <c r="Q571" s="513"/>
      <c r="R571" s="474"/>
    </row>
    <row r="572" spans="1:20">
      <c r="A572" s="163"/>
      <c r="B572" s="339"/>
      <c r="C572" s="340"/>
      <c r="D572" s="340"/>
      <c r="E572" s="340"/>
      <c r="F572" s="340"/>
      <c r="G572" s="340"/>
      <c r="H572" s="150"/>
      <c r="I572" s="341">
        <v>602.20079999999996</v>
      </c>
      <c r="J572" s="342" t="s">
        <v>355</v>
      </c>
      <c r="K572" s="344"/>
      <c r="L572" s="474"/>
      <c r="M572" s="713"/>
      <c r="N572" s="567"/>
      <c r="O572" s="512"/>
      <c r="P572" s="512"/>
      <c r="Q572" s="513"/>
      <c r="R572" s="474"/>
    </row>
    <row r="573" spans="1:20">
      <c r="A573" s="163"/>
      <c r="B573" s="339"/>
      <c r="C573" s="340"/>
      <c r="D573" s="340"/>
      <c r="E573" s="340"/>
      <c r="F573" s="340"/>
      <c r="G573" s="340"/>
      <c r="H573" s="150"/>
      <c r="I573" s="341">
        <v>602.20090000000005</v>
      </c>
      <c r="J573" s="342" t="s">
        <v>356</v>
      </c>
      <c r="K573" s="344"/>
      <c r="L573" s="474"/>
      <c r="M573" s="713"/>
      <c r="N573" s="567"/>
      <c r="O573" s="512"/>
      <c r="P573" s="512"/>
      <c r="Q573" s="513"/>
      <c r="R573" s="474"/>
    </row>
    <row r="574" spans="1:20">
      <c r="A574" s="163"/>
      <c r="B574" s="339"/>
      <c r="C574" s="340"/>
      <c r="D574" s="340"/>
      <c r="E574" s="340"/>
      <c r="F574" s="340"/>
      <c r="G574" s="340"/>
      <c r="H574" s="150"/>
      <c r="I574" s="341">
        <v>602.20100000000002</v>
      </c>
      <c r="J574" s="342" t="s">
        <v>357</v>
      </c>
      <c r="K574" s="344"/>
      <c r="L574" s="474"/>
      <c r="M574" s="713"/>
      <c r="N574" s="567"/>
      <c r="O574" s="512"/>
      <c r="P574" s="512"/>
      <c r="Q574" s="513"/>
      <c r="R574" s="474"/>
    </row>
    <row r="575" spans="1:20">
      <c r="A575" s="163"/>
      <c r="B575" s="339"/>
      <c r="C575" s="340"/>
      <c r="D575" s="340"/>
      <c r="E575" s="340"/>
      <c r="F575" s="340"/>
      <c r="G575" s="340"/>
      <c r="H575" s="150"/>
      <c r="I575" s="341">
        <v>602.20110000000102</v>
      </c>
      <c r="J575" s="342" t="s">
        <v>204</v>
      </c>
      <c r="K575" s="344"/>
      <c r="L575" s="474"/>
      <c r="M575" s="713"/>
      <c r="N575" s="567"/>
      <c r="O575" s="512"/>
      <c r="P575" s="512"/>
      <c r="Q575" s="513"/>
      <c r="R575" s="474"/>
    </row>
    <row r="576" spans="1:20" ht="13.5" thickBot="1">
      <c r="A576" s="163"/>
      <c r="B576" s="345"/>
      <c r="C576" s="346"/>
      <c r="D576" s="346"/>
      <c r="E576" s="346"/>
      <c r="F576" s="346"/>
      <c r="G576" s="346"/>
      <c r="H576" s="164"/>
      <c r="I576" s="347">
        <v>602.20989999999995</v>
      </c>
      <c r="J576" s="348" t="s">
        <v>358</v>
      </c>
      <c r="K576" s="350"/>
      <c r="L576" s="475">
        <v>94</v>
      </c>
      <c r="M576" s="475">
        <v>94</v>
      </c>
      <c r="N576" s="567"/>
      <c r="O576" s="512"/>
      <c r="P576" s="512"/>
      <c r="Q576" s="513"/>
      <c r="R576" s="475">
        <v>93600</v>
      </c>
    </row>
    <row r="577" spans="1:18" ht="13.5" thickBot="1">
      <c r="A577" s="163"/>
      <c r="B577" s="320"/>
      <c r="C577" s="321"/>
      <c r="D577" s="321"/>
      <c r="E577" s="321"/>
      <c r="F577" s="321"/>
      <c r="G577" s="321"/>
      <c r="H577" s="322"/>
      <c r="I577" s="323">
        <v>6023</v>
      </c>
      <c r="J577" s="324" t="s">
        <v>206</v>
      </c>
      <c r="K577" s="351">
        <f>SUM(K578+K579+K580+K581)</f>
        <v>0</v>
      </c>
      <c r="L577" s="476">
        <f>SUM(L578+L579+L580+L581)</f>
        <v>2472</v>
      </c>
      <c r="M577" s="476">
        <f>SUM(M578:M581)</f>
        <v>2472</v>
      </c>
      <c r="N577" s="476"/>
      <c r="O577" s="512"/>
      <c r="P577" s="512"/>
      <c r="Q577" s="513"/>
      <c r="R577" s="476">
        <f>SUM(R578+R579+R580+R581)</f>
        <v>2472224</v>
      </c>
    </row>
    <row r="578" spans="1:18">
      <c r="A578" s="163"/>
      <c r="B578" s="352"/>
      <c r="C578" s="353"/>
      <c r="D578" s="353"/>
      <c r="E578" s="353"/>
      <c r="F578" s="353"/>
      <c r="G578" s="353"/>
      <c r="H578" s="354"/>
      <c r="I578" s="360">
        <v>602.30999999999995</v>
      </c>
      <c r="J578" s="361" t="s">
        <v>207</v>
      </c>
      <c r="K578" s="362"/>
      <c r="L578" s="477">
        <v>2038</v>
      </c>
      <c r="M578" s="477">
        <v>2038</v>
      </c>
      <c r="N578" s="724"/>
      <c r="O578" s="512"/>
      <c r="P578" s="512"/>
      <c r="Q578" s="513"/>
      <c r="R578" s="477">
        <v>2038344</v>
      </c>
    </row>
    <row r="579" spans="1:18">
      <c r="A579" s="163"/>
      <c r="B579" s="339"/>
      <c r="C579" s="340"/>
      <c r="D579" s="340"/>
      <c r="E579" s="340"/>
      <c r="F579" s="340"/>
      <c r="G579" s="340"/>
      <c r="H579" s="150"/>
      <c r="I579" s="341">
        <v>602.32000000000005</v>
      </c>
      <c r="J579" s="342" t="s">
        <v>359</v>
      </c>
      <c r="K579" s="344"/>
      <c r="L579" s="474">
        <v>434</v>
      </c>
      <c r="M579" s="474">
        <v>434</v>
      </c>
      <c r="N579" s="567"/>
      <c r="O579" s="149"/>
      <c r="Q579" s="247"/>
      <c r="R579" s="474">
        <v>433880</v>
      </c>
    </row>
    <row r="580" spans="1:18">
      <c r="A580" s="163"/>
      <c r="B580" s="339"/>
      <c r="C580" s="340"/>
      <c r="D580" s="340"/>
      <c r="E580" s="340"/>
      <c r="F580" s="340"/>
      <c r="G580" s="340"/>
      <c r="H580" s="150"/>
      <c r="I580" s="341">
        <v>602.33000000000004</v>
      </c>
      <c r="J580" s="342" t="s">
        <v>360</v>
      </c>
      <c r="K580" s="344"/>
      <c r="L580" s="474"/>
      <c r="M580" s="474"/>
      <c r="N580" s="567"/>
      <c r="O580" s="149"/>
      <c r="Q580" s="247"/>
      <c r="R580" s="474"/>
    </row>
    <row r="581" spans="1:18" ht="13.5" thickBot="1">
      <c r="A581" s="163"/>
      <c r="B581" s="345"/>
      <c r="C581" s="346"/>
      <c r="D581" s="346"/>
      <c r="E581" s="346"/>
      <c r="F581" s="346"/>
      <c r="G581" s="346"/>
      <c r="H581" s="164"/>
      <c r="I581" s="347">
        <v>602.39</v>
      </c>
      <c r="J581" s="348" t="s">
        <v>361</v>
      </c>
      <c r="K581" s="350"/>
      <c r="L581" s="480"/>
      <c r="M581" s="480"/>
      <c r="N581" s="567"/>
      <c r="O581" s="149"/>
      <c r="Q581" s="247"/>
      <c r="R581" s="480"/>
    </row>
    <row r="582" spans="1:18" ht="13.5" thickBot="1">
      <c r="A582" s="163"/>
      <c r="B582" s="320"/>
      <c r="C582" s="321"/>
      <c r="D582" s="321"/>
      <c r="E582" s="321"/>
      <c r="F582" s="321"/>
      <c r="G582" s="321"/>
      <c r="H582" s="322"/>
      <c r="I582" s="323">
        <v>602.4</v>
      </c>
      <c r="J582" s="324" t="s">
        <v>362</v>
      </c>
      <c r="K582" s="351">
        <f>SUM(K583+K584)</f>
        <v>0</v>
      </c>
      <c r="L582" s="476">
        <f>SUM(L583+L584)</f>
        <v>2447</v>
      </c>
      <c r="M582" s="476">
        <f>SUM(M583:M584)</f>
        <v>2447</v>
      </c>
      <c r="N582" s="476"/>
      <c r="O582" s="149"/>
      <c r="Q582" s="247"/>
      <c r="R582" s="476">
        <f>SUM(R583+R584)</f>
        <v>2446736</v>
      </c>
    </row>
    <row r="583" spans="1:18">
      <c r="A583" s="163"/>
      <c r="B583" s="352"/>
      <c r="C583" s="353"/>
      <c r="D583" s="353"/>
      <c r="E583" s="353"/>
      <c r="F583" s="353"/>
      <c r="G583" s="353"/>
      <c r="H583" s="354"/>
      <c r="I583" s="360">
        <v>602.4</v>
      </c>
      <c r="J583" s="361" t="s">
        <v>363</v>
      </c>
      <c r="K583" s="362"/>
      <c r="L583" s="712">
        <v>2394</v>
      </c>
      <c r="M583" s="712">
        <v>2394</v>
      </c>
      <c r="N583" s="573"/>
      <c r="O583" s="149"/>
      <c r="Q583" s="247"/>
      <c r="R583" s="712">
        <v>2394080</v>
      </c>
    </row>
    <row r="584" spans="1:18" ht="13.5" thickBot="1">
      <c r="A584" s="163"/>
      <c r="B584" s="345"/>
      <c r="C584" s="346"/>
      <c r="D584" s="346"/>
      <c r="E584" s="346"/>
      <c r="F584" s="346"/>
      <c r="G584" s="346"/>
      <c r="H584" s="164"/>
      <c r="I584" s="347">
        <v>602.41</v>
      </c>
      <c r="J584" s="348" t="s">
        <v>364</v>
      </c>
      <c r="K584" s="350"/>
      <c r="L584" s="475">
        <v>53</v>
      </c>
      <c r="M584" s="475">
        <v>53</v>
      </c>
      <c r="N584" s="567"/>
      <c r="O584" s="149"/>
      <c r="Q584" s="247"/>
      <c r="R584" s="475">
        <v>52656</v>
      </c>
    </row>
    <row r="585" spans="1:18" ht="13.5" thickBot="1">
      <c r="A585" s="163"/>
      <c r="B585" s="320"/>
      <c r="C585" s="321"/>
      <c r="D585" s="321"/>
      <c r="E585" s="321"/>
      <c r="F585" s="321"/>
      <c r="G585" s="321"/>
      <c r="H585" s="322"/>
      <c r="I585" s="323">
        <v>602.5</v>
      </c>
      <c r="J585" s="324" t="s">
        <v>365</v>
      </c>
      <c r="K585" s="351">
        <f>SUM(K586+K587+K588+K589+K590+K591+K592+K593)</f>
        <v>0</v>
      </c>
      <c r="L585" s="472">
        <f>SUM(L586+L587+L588+L589+L590+L591+L592+L593)</f>
        <v>673</v>
      </c>
      <c r="M585" s="472">
        <f>SUM(M586:M593)</f>
        <v>579</v>
      </c>
      <c r="N585" s="472"/>
      <c r="O585" s="149"/>
      <c r="Q585" s="247"/>
      <c r="R585" s="472">
        <f>SUM(R586+R587+R588+R589+R590+R591+R592+R593)</f>
        <v>673116</v>
      </c>
    </row>
    <row r="586" spans="1:18">
      <c r="A586" s="163"/>
      <c r="B586" s="352"/>
      <c r="C586" s="353"/>
      <c r="D586" s="353"/>
      <c r="E586" s="353"/>
      <c r="F586" s="353"/>
      <c r="G586" s="353"/>
      <c r="H586" s="354"/>
      <c r="I586" s="360">
        <v>602.5</v>
      </c>
      <c r="J586" s="361" t="s">
        <v>366</v>
      </c>
      <c r="K586" s="364"/>
      <c r="L586" s="481"/>
      <c r="M586" s="481"/>
      <c r="N586" s="566"/>
      <c r="O586" s="149"/>
      <c r="Q586" s="247"/>
      <c r="R586" s="481"/>
    </row>
    <row r="587" spans="1:18">
      <c r="A587" s="163"/>
      <c r="B587" s="339"/>
      <c r="C587" s="340"/>
      <c r="D587" s="340"/>
      <c r="E587" s="340"/>
      <c r="F587" s="340"/>
      <c r="G587" s="340"/>
      <c r="H587" s="150"/>
      <c r="I587" s="341">
        <v>602.51</v>
      </c>
      <c r="J587" s="342" t="s">
        <v>367</v>
      </c>
      <c r="K587" s="365"/>
      <c r="L587" s="482"/>
      <c r="M587" s="482"/>
      <c r="N587" s="566"/>
      <c r="O587" s="149"/>
      <c r="Q587" s="247"/>
      <c r="R587" s="482"/>
    </row>
    <row r="588" spans="1:18">
      <c r="A588" s="163"/>
      <c r="B588" s="339"/>
      <c r="C588" s="340"/>
      <c r="D588" s="340"/>
      <c r="E588" s="340"/>
      <c r="F588" s="340"/>
      <c r="G588" s="340"/>
      <c r="H588" s="150"/>
      <c r="I588" s="341">
        <v>602.52</v>
      </c>
      <c r="J588" s="342" t="s">
        <v>368</v>
      </c>
      <c r="K588" s="365"/>
      <c r="L588" s="482"/>
      <c r="M588" s="482"/>
      <c r="N588" s="566"/>
      <c r="O588" s="149"/>
      <c r="Q588" s="247"/>
      <c r="R588" s="482"/>
    </row>
    <row r="589" spans="1:18" ht="13.5" thickBot="1">
      <c r="A589" s="163"/>
      <c r="B589" s="367"/>
      <c r="C589" s="368"/>
      <c r="D589" s="368"/>
      <c r="E589" s="368"/>
      <c r="F589" s="368"/>
      <c r="G589" s="368"/>
      <c r="H589" s="369"/>
      <c r="I589" s="370">
        <v>602.53</v>
      </c>
      <c r="J589" s="371" t="s">
        <v>369</v>
      </c>
      <c r="K589" s="372"/>
      <c r="L589" s="483"/>
      <c r="M589" s="483"/>
      <c r="N589" s="566"/>
      <c r="O589" s="149"/>
      <c r="Q589" s="247"/>
      <c r="R589" s="483"/>
    </row>
    <row r="590" spans="1:18">
      <c r="A590" s="163"/>
      <c r="B590" s="332"/>
      <c r="C590" s="333"/>
      <c r="D590" s="333"/>
      <c r="E590" s="333"/>
      <c r="F590" s="333"/>
      <c r="G590" s="333"/>
      <c r="H590" s="334"/>
      <c r="I590" s="335">
        <v>602.54</v>
      </c>
      <c r="J590" s="336" t="s">
        <v>405</v>
      </c>
      <c r="K590" s="373"/>
      <c r="L590" s="469">
        <v>257</v>
      </c>
      <c r="M590" s="469">
        <f>257-30</f>
        <v>227</v>
      </c>
      <c r="N590" s="566"/>
      <c r="O590" s="149">
        <v>-30412</v>
      </c>
      <c r="Q590" s="247"/>
      <c r="R590" s="469">
        <v>257212</v>
      </c>
    </row>
    <row r="591" spans="1:18">
      <c r="A591" s="163"/>
      <c r="B591" s="339"/>
      <c r="C591" s="340"/>
      <c r="D591" s="340"/>
      <c r="E591" s="340"/>
      <c r="F591" s="340"/>
      <c r="G591" s="340"/>
      <c r="H591" s="150"/>
      <c r="I591" s="341">
        <v>602.54999999999995</v>
      </c>
      <c r="J591" s="342" t="s">
        <v>370</v>
      </c>
      <c r="K591" s="365"/>
      <c r="L591" s="710">
        <v>180</v>
      </c>
      <c r="M591" s="710">
        <f>180-28</f>
        <v>152</v>
      </c>
      <c r="N591" s="573"/>
      <c r="O591" s="149">
        <v>-27500</v>
      </c>
      <c r="Q591" s="247"/>
      <c r="R591" s="710">
        <v>180000</v>
      </c>
    </row>
    <row r="592" spans="1:18">
      <c r="A592" s="163"/>
      <c r="B592" s="339"/>
      <c r="C592" s="340"/>
      <c r="D592" s="340"/>
      <c r="E592" s="340"/>
      <c r="F592" s="340"/>
      <c r="G592" s="340"/>
      <c r="H592" s="150"/>
      <c r="I592" s="341">
        <v>602.55999999999995</v>
      </c>
      <c r="J592" s="342" t="s">
        <v>371</v>
      </c>
      <c r="K592" s="365"/>
      <c r="L592" s="482"/>
      <c r="M592" s="482"/>
      <c r="N592" s="566"/>
      <c r="O592" s="149"/>
      <c r="Q592" s="247"/>
      <c r="R592" s="482"/>
    </row>
    <row r="593" spans="1:18" ht="13.5" thickBot="1">
      <c r="A593" s="163"/>
      <c r="B593" s="345"/>
      <c r="C593" s="346"/>
      <c r="D593" s="346"/>
      <c r="E593" s="346"/>
      <c r="F593" s="346"/>
      <c r="G593" s="346"/>
      <c r="H593" s="164"/>
      <c r="I593" s="347">
        <v>602.58000000000004</v>
      </c>
      <c r="J593" s="348" t="s">
        <v>372</v>
      </c>
      <c r="K593" s="374"/>
      <c r="L593" s="711">
        <v>236</v>
      </c>
      <c r="M593" s="711">
        <f>236-36</f>
        <v>200</v>
      </c>
      <c r="N593" s="573"/>
      <c r="O593" s="149">
        <v>-35904</v>
      </c>
      <c r="R593" s="711">
        <v>235904</v>
      </c>
    </row>
    <row r="594" spans="1:18" ht="13.5" thickBot="1">
      <c r="A594" s="163"/>
      <c r="B594" s="320"/>
      <c r="C594" s="321"/>
      <c r="D594" s="321"/>
      <c r="E594" s="321"/>
      <c r="F594" s="321"/>
      <c r="G594" s="321"/>
      <c r="H594" s="322"/>
      <c r="I594" s="323">
        <v>602.6</v>
      </c>
      <c r="J594" s="324" t="s">
        <v>373</v>
      </c>
      <c r="K594" s="376">
        <f>SUM(K595+K596+K597+K598+K599)</f>
        <v>0</v>
      </c>
      <c r="L594" s="485">
        <f>SUM(L595+L596+L597+L598+L599)</f>
        <v>0</v>
      </c>
      <c r="M594" s="485"/>
      <c r="N594" s="569"/>
      <c r="O594" s="149"/>
      <c r="R594" s="485">
        <f>SUM(R595+R596+R597+R598+R599)</f>
        <v>0</v>
      </c>
    </row>
    <row r="595" spans="1:18">
      <c r="A595" s="163"/>
      <c r="B595" s="352"/>
      <c r="C595" s="353"/>
      <c r="D595" s="353"/>
      <c r="E595" s="353"/>
      <c r="F595" s="353"/>
      <c r="G595" s="353"/>
      <c r="H595" s="354"/>
      <c r="I595" s="360">
        <v>602.61</v>
      </c>
      <c r="J595" s="361" t="s">
        <v>374</v>
      </c>
      <c r="K595" s="364"/>
      <c r="L595" s="481"/>
      <c r="M595" s="481"/>
      <c r="N595" s="566"/>
      <c r="O595" s="149"/>
      <c r="R595" s="481"/>
    </row>
    <row r="596" spans="1:18">
      <c r="A596" s="163"/>
      <c r="B596" s="339"/>
      <c r="C596" s="340"/>
      <c r="D596" s="340"/>
      <c r="E596" s="340"/>
      <c r="F596" s="340"/>
      <c r="G596" s="340"/>
      <c r="H596" s="150"/>
      <c r="I596" s="341">
        <v>602.62</v>
      </c>
      <c r="J596" s="342" t="s">
        <v>375</v>
      </c>
      <c r="K596" s="365"/>
      <c r="L596" s="482"/>
      <c r="M596" s="482"/>
      <c r="N596" s="566"/>
      <c r="O596" s="149"/>
      <c r="R596" s="482"/>
    </row>
    <row r="597" spans="1:18">
      <c r="A597" s="163"/>
      <c r="B597" s="339"/>
      <c r="C597" s="340"/>
      <c r="D597" s="340"/>
      <c r="E597" s="340"/>
      <c r="F597" s="340"/>
      <c r="G597" s="340"/>
      <c r="H597" s="150"/>
      <c r="I597" s="341">
        <v>602.63</v>
      </c>
      <c r="J597" s="342" t="s">
        <v>376</v>
      </c>
      <c r="K597" s="365"/>
      <c r="L597" s="482"/>
      <c r="M597" s="482"/>
      <c r="N597" s="566"/>
      <c r="O597" s="149"/>
      <c r="R597" s="482"/>
    </row>
    <row r="598" spans="1:18">
      <c r="A598" s="163"/>
      <c r="B598" s="339"/>
      <c r="C598" s="340"/>
      <c r="D598" s="340"/>
      <c r="E598" s="340"/>
      <c r="F598" s="340"/>
      <c r="G598" s="340"/>
      <c r="H598" s="150"/>
      <c r="I598" s="341">
        <v>602.64</v>
      </c>
      <c r="J598" s="342" t="s">
        <v>377</v>
      </c>
      <c r="K598" s="365"/>
      <c r="L598" s="482"/>
      <c r="M598" s="482"/>
      <c r="N598" s="566"/>
      <c r="O598" s="149"/>
      <c r="R598" s="482"/>
    </row>
    <row r="599" spans="1:18" ht="13.5" thickBot="1">
      <c r="A599" s="163"/>
      <c r="B599" s="345"/>
      <c r="C599" s="346"/>
      <c r="D599" s="346"/>
      <c r="E599" s="346"/>
      <c r="F599" s="346"/>
      <c r="G599" s="346"/>
      <c r="H599" s="164"/>
      <c r="I599" s="347">
        <v>602.69000000000005</v>
      </c>
      <c r="J599" s="348" t="s">
        <v>378</v>
      </c>
      <c r="K599" s="374"/>
      <c r="L599" s="486"/>
      <c r="M599" s="486"/>
      <c r="N599" s="566"/>
      <c r="O599" s="149"/>
      <c r="R599" s="486"/>
    </row>
    <row r="600" spans="1:18" ht="13.5" thickBot="1">
      <c r="A600" s="163"/>
      <c r="B600" s="320"/>
      <c r="C600" s="321"/>
      <c r="D600" s="321"/>
      <c r="E600" s="321"/>
      <c r="F600" s="321"/>
      <c r="G600" s="321"/>
      <c r="H600" s="322"/>
      <c r="I600" s="377">
        <v>602.70000000000005</v>
      </c>
      <c r="J600" s="324" t="s">
        <v>379</v>
      </c>
      <c r="K600" s="376">
        <f>SUM(K601+K602+K603+K604+K605+K606)</f>
        <v>0</v>
      </c>
      <c r="L600" s="485">
        <f>SUM(L601+L602+L603+L604+L605+L606)</f>
        <v>290</v>
      </c>
      <c r="M600" s="485">
        <f>SUM(M601:M606)</f>
        <v>290</v>
      </c>
      <c r="N600" s="485"/>
      <c r="O600" s="149"/>
      <c r="R600" s="485">
        <f>SUM(R601+R602+R603+R604+R605+R606)</f>
        <v>290000</v>
      </c>
    </row>
    <row r="601" spans="1:18">
      <c r="A601" s="163"/>
      <c r="B601" s="352"/>
      <c r="C601" s="353"/>
      <c r="D601" s="353"/>
      <c r="E601" s="353"/>
      <c r="F601" s="353"/>
      <c r="G601" s="353"/>
      <c r="H601" s="354"/>
      <c r="I601" s="360">
        <v>602.71</v>
      </c>
      <c r="J601" s="361" t="s">
        <v>380</v>
      </c>
      <c r="K601" s="364"/>
      <c r="L601" s="481"/>
      <c r="M601" s="708"/>
      <c r="N601" s="566"/>
      <c r="O601" s="149"/>
      <c r="R601" s="481"/>
    </row>
    <row r="602" spans="1:18">
      <c r="A602" s="163"/>
      <c r="B602" s="339"/>
      <c r="C602" s="340"/>
      <c r="D602" s="340"/>
      <c r="E602" s="340"/>
      <c r="F602" s="340"/>
      <c r="G602" s="340"/>
      <c r="H602" s="150"/>
      <c r="I602" s="341">
        <v>602.72</v>
      </c>
      <c r="J602" s="342" t="s">
        <v>381</v>
      </c>
      <c r="K602" s="365"/>
      <c r="L602" s="482"/>
      <c r="M602" s="709"/>
      <c r="N602" s="566"/>
      <c r="O602" s="149"/>
      <c r="R602" s="482"/>
    </row>
    <row r="603" spans="1:18">
      <c r="A603" s="163"/>
      <c r="B603" s="339"/>
      <c r="C603" s="340"/>
      <c r="D603" s="340"/>
      <c r="E603" s="340"/>
      <c r="F603" s="340"/>
      <c r="G603" s="340"/>
      <c r="H603" s="150"/>
      <c r="I603" s="341">
        <v>602.73</v>
      </c>
      <c r="J603" s="342" t="s">
        <v>382</v>
      </c>
      <c r="K603" s="365"/>
      <c r="L603" s="482"/>
      <c r="M603" s="709"/>
      <c r="N603" s="566"/>
      <c r="O603" s="149"/>
      <c r="R603" s="482"/>
    </row>
    <row r="604" spans="1:18">
      <c r="A604" s="163"/>
      <c r="B604" s="339"/>
      <c r="C604" s="340"/>
      <c r="D604" s="340"/>
      <c r="E604" s="340"/>
      <c r="F604" s="340"/>
      <c r="G604" s="340"/>
      <c r="H604" s="150"/>
      <c r="I604" s="341">
        <v>602.74</v>
      </c>
      <c r="J604" s="342" t="s">
        <v>383</v>
      </c>
      <c r="K604" s="365"/>
      <c r="L604" s="482">
        <v>290</v>
      </c>
      <c r="M604" s="482">
        <v>290</v>
      </c>
      <c r="N604" s="566"/>
      <c r="O604" s="149"/>
      <c r="R604" s="482">
        <v>290000</v>
      </c>
    </row>
    <row r="605" spans="1:18">
      <c r="A605" s="163"/>
      <c r="B605" s="339"/>
      <c r="C605" s="340"/>
      <c r="D605" s="340"/>
      <c r="E605" s="340"/>
      <c r="F605" s="340"/>
      <c r="G605" s="340"/>
      <c r="H605" s="150"/>
      <c r="I605" s="341">
        <v>602.75</v>
      </c>
      <c r="J605" s="342" t="s">
        <v>384</v>
      </c>
      <c r="K605" s="365"/>
      <c r="L605" s="482"/>
      <c r="M605" s="482"/>
      <c r="N605" s="566"/>
      <c r="O605" s="149"/>
      <c r="R605" s="482"/>
    </row>
    <row r="606" spans="1:18" ht="13.5" thickBot="1">
      <c r="A606" s="163"/>
      <c r="B606" s="345"/>
      <c r="C606" s="346"/>
      <c r="D606" s="346"/>
      <c r="E606" s="346"/>
      <c r="F606" s="346"/>
      <c r="G606" s="346"/>
      <c r="H606" s="164"/>
      <c r="I606" s="347">
        <v>602.79</v>
      </c>
      <c r="J606" s="348" t="s">
        <v>385</v>
      </c>
      <c r="K606" s="374"/>
      <c r="L606" s="486"/>
      <c r="M606" s="486"/>
      <c r="N606" s="566"/>
      <c r="O606" s="149"/>
      <c r="R606" s="486"/>
    </row>
    <row r="607" spans="1:18" ht="13.5" thickBot="1">
      <c r="A607" s="163"/>
      <c r="B607" s="320"/>
      <c r="C607" s="321"/>
      <c r="D607" s="321"/>
      <c r="E607" s="321"/>
      <c r="F607" s="321"/>
      <c r="G607" s="321"/>
      <c r="H607" s="322"/>
      <c r="I607" s="377">
        <v>602.79999999999995</v>
      </c>
      <c r="J607" s="324" t="s">
        <v>386</v>
      </c>
      <c r="K607" s="376">
        <f>SUM(K608+K609)</f>
        <v>0</v>
      </c>
      <c r="L607" s="485">
        <f>SUM(L608+L609)</f>
        <v>0</v>
      </c>
      <c r="M607" s="485"/>
      <c r="N607" s="485"/>
      <c r="O607" s="149"/>
      <c r="R607" s="485">
        <f>SUM(R608+R609)</f>
        <v>0</v>
      </c>
    </row>
    <row r="608" spans="1:18">
      <c r="A608" s="163"/>
      <c r="B608" s="352"/>
      <c r="C608" s="353"/>
      <c r="D608" s="353"/>
      <c r="E608" s="353"/>
      <c r="F608" s="353"/>
      <c r="G608" s="353"/>
      <c r="H608" s="354"/>
      <c r="I608" s="360">
        <v>602.80999999999995</v>
      </c>
      <c r="J608" s="361" t="s">
        <v>387</v>
      </c>
      <c r="K608" s="357"/>
      <c r="L608" s="473"/>
      <c r="M608" s="473"/>
      <c r="N608" s="565"/>
      <c r="O608" s="149"/>
      <c r="R608" s="473"/>
    </row>
    <row r="609" spans="1:18" ht="13.5" thickBot="1">
      <c r="A609" s="163"/>
      <c r="B609" s="345"/>
      <c r="C609" s="346"/>
      <c r="D609" s="346"/>
      <c r="E609" s="346"/>
      <c r="F609" s="346"/>
      <c r="G609" s="346"/>
      <c r="H609" s="164"/>
      <c r="I609" s="347">
        <v>602.82000000000005</v>
      </c>
      <c r="J609" s="348" t="s">
        <v>388</v>
      </c>
      <c r="K609" s="349"/>
      <c r="L609" s="471"/>
      <c r="M609" s="471"/>
      <c r="N609" s="565"/>
      <c r="O609" s="149"/>
      <c r="R609" s="471"/>
    </row>
    <row r="610" spans="1:18" ht="13.5" thickBot="1">
      <c r="A610" s="163"/>
      <c r="B610" s="320"/>
      <c r="C610" s="321"/>
      <c r="D610" s="321"/>
      <c r="E610" s="321"/>
      <c r="F610" s="321"/>
      <c r="G610" s="321"/>
      <c r="H610" s="322"/>
      <c r="I610" s="323">
        <v>602.9</v>
      </c>
      <c r="J610" s="324" t="s">
        <v>389</v>
      </c>
      <c r="K610" s="376">
        <f>SUM(K611+K612+K613+K614+K615+K616+K617+K618+K619)</f>
        <v>0</v>
      </c>
      <c r="L610" s="485">
        <f>SUM(L611+L612+L613+L614+L615+L616+L617+L618+L619)</f>
        <v>1132</v>
      </c>
      <c r="M610" s="485">
        <f>SUM(M611:M619)</f>
        <v>1132</v>
      </c>
      <c r="N610" s="485"/>
      <c r="O610" s="149"/>
      <c r="R610" s="485">
        <f>SUM(R611+R612+R613+R614+R615+R616+R617+R618+R619)</f>
        <v>1131714</v>
      </c>
    </row>
    <row r="611" spans="1:18">
      <c r="A611" s="163"/>
      <c r="B611" s="332"/>
      <c r="C611" s="333"/>
      <c r="D611" s="333"/>
      <c r="E611" s="333"/>
      <c r="F611" s="333"/>
      <c r="G611" s="333"/>
      <c r="H611" s="334"/>
      <c r="I611" s="335">
        <v>602.90009999999995</v>
      </c>
      <c r="J611" s="336" t="s">
        <v>390</v>
      </c>
      <c r="K611" s="338"/>
      <c r="L611" s="487"/>
      <c r="M611" s="487"/>
      <c r="N611" s="567"/>
      <c r="O611" s="149"/>
      <c r="R611" s="487"/>
    </row>
    <row r="612" spans="1:18">
      <c r="A612" s="163"/>
      <c r="B612" s="339"/>
      <c r="C612" s="340"/>
      <c r="D612" s="340"/>
      <c r="E612" s="340"/>
      <c r="F612" s="340"/>
      <c r="G612" s="340"/>
      <c r="H612" s="150"/>
      <c r="I612" s="341">
        <v>602.90020000000004</v>
      </c>
      <c r="J612" s="342" t="s">
        <v>392</v>
      </c>
      <c r="K612" s="344"/>
      <c r="L612" s="474"/>
      <c r="M612" s="474"/>
      <c r="N612" s="567"/>
      <c r="O612" s="149"/>
      <c r="R612" s="474"/>
    </row>
    <row r="613" spans="1:18">
      <c r="A613" s="163"/>
      <c r="B613" s="339"/>
      <c r="C613" s="340"/>
      <c r="D613" s="340"/>
      <c r="E613" s="340"/>
      <c r="F613" s="340"/>
      <c r="G613" s="340"/>
      <c r="H613" s="150"/>
      <c r="I613" s="341">
        <v>602.90030000000002</v>
      </c>
      <c r="J613" s="342" t="s">
        <v>391</v>
      </c>
      <c r="K613" s="344"/>
      <c r="L613" s="474"/>
      <c r="M613" s="474"/>
      <c r="N613" s="567"/>
      <c r="O613" s="149"/>
      <c r="R613" s="474"/>
    </row>
    <row r="614" spans="1:18">
      <c r="A614" s="163"/>
      <c r="B614" s="339"/>
      <c r="C614" s="340"/>
      <c r="D614" s="340"/>
      <c r="E614" s="340"/>
      <c r="F614" s="340"/>
      <c r="G614" s="340"/>
      <c r="H614" s="150"/>
      <c r="I614" s="341">
        <v>602.90039999999999</v>
      </c>
      <c r="J614" s="342" t="s">
        <v>393</v>
      </c>
      <c r="K614" s="344"/>
      <c r="L614" s="474"/>
      <c r="M614" s="474"/>
      <c r="N614" s="567"/>
      <c r="O614" s="149"/>
      <c r="R614" s="474"/>
    </row>
    <row r="615" spans="1:18">
      <c r="A615" s="163"/>
      <c r="B615" s="339"/>
      <c r="C615" s="340"/>
      <c r="D615" s="340"/>
      <c r="E615" s="340"/>
      <c r="F615" s="340"/>
      <c r="G615" s="340"/>
      <c r="H615" s="150"/>
      <c r="I615" s="341">
        <v>602.90049999999997</v>
      </c>
      <c r="J615" s="342" t="s">
        <v>394</v>
      </c>
      <c r="K615" s="344"/>
      <c r="L615" s="474">
        <v>1115</v>
      </c>
      <c r="M615" s="474">
        <v>1115</v>
      </c>
      <c r="N615" s="567"/>
      <c r="O615" s="149"/>
      <c r="R615" s="474">
        <v>1114694</v>
      </c>
    </row>
    <row r="616" spans="1:18">
      <c r="A616" s="163"/>
      <c r="B616" s="339"/>
      <c r="C616" s="340"/>
      <c r="D616" s="340"/>
      <c r="E616" s="340"/>
      <c r="F616" s="340"/>
      <c r="G616" s="340"/>
      <c r="H616" s="150"/>
      <c r="I616" s="341">
        <v>602.90060000000005</v>
      </c>
      <c r="J616" s="342" t="s">
        <v>395</v>
      </c>
      <c r="K616" s="344"/>
      <c r="L616" s="474"/>
      <c r="M616" s="474"/>
      <c r="N616" s="567"/>
      <c r="O616" s="149"/>
      <c r="R616" s="474"/>
    </row>
    <row r="617" spans="1:18">
      <c r="A617" s="163"/>
      <c r="B617" s="339"/>
      <c r="C617" s="340"/>
      <c r="D617" s="340"/>
      <c r="E617" s="340"/>
      <c r="F617" s="340"/>
      <c r="G617" s="340"/>
      <c r="H617" s="150"/>
      <c r="I617" s="341">
        <v>602.90070000000003</v>
      </c>
      <c r="J617" s="342" t="s">
        <v>396</v>
      </c>
      <c r="K617" s="343"/>
      <c r="L617" s="470"/>
      <c r="M617" s="470"/>
      <c r="N617" s="565"/>
      <c r="O617" s="149"/>
      <c r="R617" s="470"/>
    </row>
    <row r="618" spans="1:18">
      <c r="A618" s="163"/>
      <c r="B618" s="339"/>
      <c r="C618" s="340"/>
      <c r="D618" s="340"/>
      <c r="E618" s="340"/>
      <c r="F618" s="340"/>
      <c r="G618" s="340"/>
      <c r="H618" s="150"/>
      <c r="I618" s="341">
        <v>602.90080000000103</v>
      </c>
      <c r="J618" s="342" t="s">
        <v>397</v>
      </c>
      <c r="K618" s="344"/>
      <c r="L618" s="474"/>
      <c r="M618" s="474"/>
      <c r="N618" s="567"/>
      <c r="O618" s="149"/>
      <c r="R618" s="474"/>
    </row>
    <row r="619" spans="1:18" ht="13.5" thickBot="1">
      <c r="A619" s="163"/>
      <c r="B619" s="345"/>
      <c r="C619" s="346"/>
      <c r="D619" s="346"/>
      <c r="E619" s="346"/>
      <c r="F619" s="346"/>
      <c r="G619" s="346"/>
      <c r="H619" s="164"/>
      <c r="I619" s="347">
        <v>602.900900000001</v>
      </c>
      <c r="J619" s="348" t="s">
        <v>398</v>
      </c>
      <c r="K619" s="350"/>
      <c r="L619" s="480">
        <v>17</v>
      </c>
      <c r="M619" s="480">
        <v>17</v>
      </c>
      <c r="N619" s="567"/>
      <c r="O619" s="149"/>
      <c r="R619" s="480">
        <v>17020</v>
      </c>
    </row>
    <row r="620" spans="1:18" ht="13.5" thickBot="1">
      <c r="A620" s="163"/>
      <c r="B620" s="732"/>
      <c r="C620" s="733"/>
      <c r="D620" s="733"/>
      <c r="E620" s="733"/>
      <c r="F620" s="733"/>
      <c r="G620" s="733"/>
      <c r="H620" s="734">
        <v>606</v>
      </c>
      <c r="I620" s="735">
        <v>606.91</v>
      </c>
      <c r="J620" s="736" t="s">
        <v>406</v>
      </c>
      <c r="K620" s="737">
        <v>30</v>
      </c>
      <c r="L620" s="725">
        <v>30</v>
      </c>
      <c r="M620" s="725">
        <v>30</v>
      </c>
      <c r="N620" s="725"/>
      <c r="O620" s="149"/>
      <c r="R620" s="725">
        <v>30000</v>
      </c>
    </row>
    <row r="621" spans="1:18" ht="15.75" thickBot="1">
      <c r="A621" s="163"/>
      <c r="B621" s="385"/>
      <c r="C621" s="386"/>
      <c r="D621" s="386"/>
      <c r="E621" s="692">
        <v>6</v>
      </c>
      <c r="F621" s="386"/>
      <c r="G621" s="695">
        <v>10430</v>
      </c>
      <c r="H621" s="738">
        <v>230</v>
      </c>
      <c r="I621" s="390"/>
      <c r="J621" s="391" t="s">
        <v>399</v>
      </c>
      <c r="K621" s="388"/>
      <c r="L621" s="388"/>
      <c r="M621" s="388"/>
      <c r="N621" s="388"/>
      <c r="O621" s="149"/>
      <c r="R621" s="388"/>
    </row>
    <row r="622" spans="1:18" ht="15">
      <c r="A622" s="163"/>
      <c r="B622" s="5"/>
      <c r="C622" s="163"/>
      <c r="D622" s="163"/>
      <c r="E622" s="741"/>
      <c r="F622" s="163"/>
      <c r="G622" s="742"/>
      <c r="H622" s="743"/>
      <c r="I622" s="163"/>
      <c r="J622" s="744"/>
      <c r="K622" s="380"/>
      <c r="L622" s="380"/>
      <c r="M622" s="380"/>
      <c r="N622" s="380"/>
      <c r="O622" s="149"/>
      <c r="R622" s="380"/>
    </row>
    <row r="623" spans="1:18" ht="15">
      <c r="A623" s="163"/>
      <c r="B623" s="224"/>
      <c r="C623" s="703" t="s">
        <v>401</v>
      </c>
      <c r="D623" s="163"/>
      <c r="E623" s="163"/>
      <c r="F623" s="163"/>
      <c r="G623" s="163"/>
      <c r="H623" s="163"/>
      <c r="I623" s="163"/>
      <c r="J623" s="379"/>
      <c r="K623" s="380"/>
      <c r="L623" s="488"/>
      <c r="M623" s="488"/>
      <c r="N623" s="488"/>
      <c r="O623" s="149"/>
    </row>
    <row r="624" spans="1:18" ht="15">
      <c r="A624" s="163"/>
      <c r="B624" s="224"/>
      <c r="C624" s="703" t="s">
        <v>400</v>
      </c>
      <c r="D624" s="163"/>
      <c r="E624" s="163"/>
      <c r="F624" s="163"/>
      <c r="G624" s="163"/>
      <c r="H624" s="163"/>
      <c r="I624" s="163"/>
      <c r="J624" s="379"/>
      <c r="K624" s="382"/>
      <c r="L624" s="490"/>
      <c r="M624" s="490"/>
      <c r="N624" s="490"/>
      <c r="O624" s="149"/>
    </row>
    <row r="625" spans="1:21" ht="15">
      <c r="A625" s="163"/>
      <c r="B625" s="224"/>
      <c r="C625" s="163"/>
      <c r="D625" s="383" t="s">
        <v>402</v>
      </c>
      <c r="E625" s="383"/>
      <c r="F625" s="383"/>
      <c r="G625" s="383"/>
      <c r="H625" s="163"/>
      <c r="J625" s="384" t="s">
        <v>411</v>
      </c>
      <c r="K625" s="488"/>
      <c r="L625" s="488"/>
      <c r="M625" s="488"/>
      <c r="N625" s="149"/>
      <c r="O625" s="149"/>
    </row>
    <row r="626" spans="1:21">
      <c r="A626" s="163"/>
      <c r="B626" s="224"/>
      <c r="C626" s="163"/>
      <c r="D626" s="704" t="s">
        <v>403</v>
      </c>
      <c r="E626" s="383"/>
      <c r="F626" s="383"/>
      <c r="G626" s="383"/>
      <c r="H626" s="383"/>
      <c r="I626" s="383"/>
      <c r="J626" s="702" t="s">
        <v>412</v>
      </c>
      <c r="K626" s="489"/>
      <c r="L626" s="489"/>
      <c r="M626" s="489"/>
      <c r="N626" s="149"/>
      <c r="O626" s="220"/>
      <c r="P626" s="220"/>
      <c r="Q626" s="220"/>
      <c r="R626" s="220"/>
      <c r="S626" s="220"/>
      <c r="T626" s="220"/>
      <c r="U626" s="220"/>
    </row>
  </sheetData>
  <phoneticPr fontId="5" type="noConversion"/>
  <pageMargins left="0" right="0" top="0" bottom="0" header="0" footer="0"/>
  <pageSetup scale="9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58"/>
  <sheetViews>
    <sheetView topLeftCell="A34" workbookViewId="0">
      <selection activeCell="K43" sqref="K43"/>
    </sheetView>
  </sheetViews>
  <sheetFormatPr defaultRowHeight="12.75"/>
  <cols>
    <col min="1" max="1" width="3.140625" customWidth="1"/>
    <col min="2" max="2" width="41.85546875" customWidth="1"/>
    <col min="3" max="3" width="0.140625" hidden="1" customWidth="1"/>
    <col min="4" max="4" width="9.140625" hidden="1" customWidth="1"/>
    <col min="6" max="6" width="18.28515625" customWidth="1"/>
    <col min="7" max="7" width="12.42578125" customWidth="1"/>
  </cols>
  <sheetData>
    <row r="4" spans="1:10" ht="18">
      <c r="A4" s="3056" t="s">
        <v>461</v>
      </c>
      <c r="B4" s="3056"/>
      <c r="C4" s="3056"/>
      <c r="D4" s="3056"/>
      <c r="E4" s="3056"/>
      <c r="F4" s="3056"/>
      <c r="G4" s="3056"/>
      <c r="H4" s="3056"/>
      <c r="I4" s="5"/>
      <c r="J4" s="5"/>
    </row>
    <row r="5" spans="1:10" ht="15">
      <c r="A5" s="177"/>
      <c r="B5" s="3057"/>
      <c r="C5" s="3057"/>
      <c r="D5" s="3057"/>
      <c r="E5" s="3057"/>
      <c r="F5" s="3057"/>
      <c r="G5" s="850"/>
      <c r="H5" s="177"/>
      <c r="I5" s="5"/>
      <c r="J5" s="5"/>
    </row>
    <row r="6" spans="1:10" ht="15">
      <c r="A6" s="171"/>
      <c r="B6" s="851"/>
      <c r="C6" s="171"/>
      <c r="D6" s="852"/>
      <c r="E6" s="3058"/>
      <c r="F6" s="3059"/>
      <c r="G6" s="855" t="s">
        <v>443</v>
      </c>
      <c r="H6" s="856"/>
      <c r="I6" s="857"/>
      <c r="J6" s="857" t="s">
        <v>79</v>
      </c>
    </row>
    <row r="7" spans="1:10" ht="15">
      <c r="A7" s="171"/>
      <c r="B7" s="171" t="s">
        <v>444</v>
      </c>
      <c r="C7" s="171"/>
      <c r="D7" s="852"/>
      <c r="E7" s="858" t="s">
        <v>445</v>
      </c>
      <c r="F7" s="858"/>
      <c r="G7" s="850"/>
      <c r="H7" s="859"/>
      <c r="I7" s="857"/>
      <c r="J7" s="857" t="s">
        <v>446</v>
      </c>
    </row>
    <row r="8" spans="1:10" ht="15.75">
      <c r="A8" s="171" t="s">
        <v>9</v>
      </c>
      <c r="B8" s="3060" t="s">
        <v>447</v>
      </c>
      <c r="C8" s="3061"/>
      <c r="D8" s="860"/>
      <c r="E8" s="3048" t="s">
        <v>448</v>
      </c>
      <c r="F8" s="3049"/>
      <c r="G8" s="855" t="s">
        <v>449</v>
      </c>
      <c r="H8" s="861" t="s">
        <v>450</v>
      </c>
      <c r="I8" s="857" t="s">
        <v>451</v>
      </c>
      <c r="J8" s="857" t="s">
        <v>443</v>
      </c>
    </row>
    <row r="9" spans="1:10" ht="15.75">
      <c r="A9" s="171"/>
      <c r="B9" s="862" t="s">
        <v>462</v>
      </c>
      <c r="C9" s="863"/>
      <c r="D9" s="864"/>
      <c r="E9" s="3048"/>
      <c r="F9" s="3049"/>
      <c r="G9" s="865">
        <v>41700</v>
      </c>
      <c r="H9" s="866"/>
      <c r="I9" s="942"/>
      <c r="J9" s="867">
        <f>SUM(G9:I9)</f>
        <v>41700</v>
      </c>
    </row>
    <row r="10" spans="1:10" ht="15.75">
      <c r="A10" s="171"/>
      <c r="B10" s="862" t="s">
        <v>452</v>
      </c>
      <c r="C10" s="868"/>
      <c r="D10" s="869"/>
      <c r="E10" s="3048" t="s">
        <v>453</v>
      </c>
      <c r="F10" s="3049"/>
      <c r="G10" s="865">
        <v>712.5</v>
      </c>
      <c r="H10" s="866"/>
      <c r="I10" s="942"/>
      <c r="J10" s="867">
        <f t="shared" ref="J10:J15" si="0">SUM(G10:I10)</f>
        <v>712.5</v>
      </c>
    </row>
    <row r="11" spans="1:10" ht="15.75">
      <c r="A11" s="905"/>
      <c r="B11" s="870" t="s">
        <v>454</v>
      </c>
      <c r="C11" s="871"/>
      <c r="D11" s="872"/>
      <c r="E11" s="3048"/>
      <c r="F11" s="3049"/>
      <c r="G11" s="865"/>
      <c r="H11" s="873"/>
      <c r="I11" s="942"/>
      <c r="J11" s="867">
        <f t="shared" si="0"/>
        <v>0</v>
      </c>
    </row>
    <row r="12" spans="1:10" ht="15.75">
      <c r="A12" s="905"/>
      <c r="B12" s="874"/>
      <c r="C12" s="871"/>
      <c r="D12" s="872"/>
      <c r="E12" s="3048"/>
      <c r="F12" s="3049"/>
      <c r="G12" s="865"/>
      <c r="H12" s="873"/>
      <c r="I12" s="943"/>
      <c r="J12" s="867">
        <f t="shared" si="0"/>
        <v>0</v>
      </c>
    </row>
    <row r="13" spans="1:10" ht="15.75">
      <c r="A13" s="171"/>
      <c r="B13" s="875" t="s">
        <v>455</v>
      </c>
      <c r="C13" s="876"/>
      <c r="D13" s="877"/>
      <c r="E13" s="3050"/>
      <c r="F13" s="3051"/>
      <c r="G13" s="878">
        <f>SUM(G9:G12)</f>
        <v>42412.5</v>
      </c>
      <c r="H13" s="878">
        <f>SUM(H9:H12)</f>
        <v>0</v>
      </c>
      <c r="I13" s="944">
        <f>SUM(I9:I12)</f>
        <v>0</v>
      </c>
      <c r="J13" s="879">
        <f>SUM(G13+H13-I12)</f>
        <v>42412.5</v>
      </c>
    </row>
    <row r="14" spans="1:10" ht="15.75">
      <c r="A14" s="171" t="s">
        <v>16</v>
      </c>
      <c r="B14" s="862" t="s">
        <v>462</v>
      </c>
      <c r="C14" s="880"/>
      <c r="D14" s="881"/>
      <c r="E14" s="3052" t="s">
        <v>456</v>
      </c>
      <c r="F14" s="3053"/>
      <c r="G14" s="865">
        <v>6660</v>
      </c>
      <c r="H14" s="882"/>
      <c r="I14" s="942"/>
      <c r="J14" s="867">
        <f t="shared" si="0"/>
        <v>6660</v>
      </c>
    </row>
    <row r="15" spans="1:10" ht="15.75">
      <c r="A15" s="171"/>
      <c r="B15" s="883" t="s">
        <v>457</v>
      </c>
      <c r="C15" s="880"/>
      <c r="D15" s="881"/>
      <c r="E15" s="884"/>
      <c r="F15" s="885"/>
      <c r="G15" s="865"/>
      <c r="H15" s="873"/>
      <c r="I15" s="942"/>
      <c r="J15" s="867">
        <f t="shared" si="0"/>
        <v>0</v>
      </c>
    </row>
    <row r="16" spans="1:10" ht="15.75">
      <c r="A16" s="171"/>
      <c r="B16" s="886" t="s">
        <v>458</v>
      </c>
      <c r="C16" s="887"/>
      <c r="D16" s="888"/>
      <c r="E16" s="3054"/>
      <c r="F16" s="3055"/>
      <c r="G16" s="889">
        <f>G14+G15</f>
        <v>6660</v>
      </c>
      <c r="H16" s="890"/>
      <c r="I16" s="945"/>
      <c r="J16" s="891">
        <f>SUM(G16+H16-I15)</f>
        <v>6660</v>
      </c>
    </row>
    <row r="17" spans="1:10" ht="15">
      <c r="A17" s="171" t="s">
        <v>23</v>
      </c>
      <c r="B17" s="862" t="s">
        <v>462</v>
      </c>
      <c r="C17" s="895"/>
      <c r="D17" s="177"/>
      <c r="E17" s="896" t="s">
        <v>460</v>
      </c>
      <c r="F17" s="897"/>
      <c r="G17" s="175">
        <v>20000</v>
      </c>
      <c r="H17" s="175">
        <f>H18+H19+H20</f>
        <v>1200</v>
      </c>
      <c r="I17" s="940"/>
      <c r="J17" s="867">
        <f t="shared" ref="J17:J22" si="1">G17+H17-I17</f>
        <v>21200</v>
      </c>
    </row>
    <row r="18" spans="1:10" ht="14.25" customHeight="1">
      <c r="A18" s="171"/>
      <c r="B18" s="862" t="s">
        <v>506</v>
      </c>
      <c r="C18" s="895"/>
      <c r="D18" s="177"/>
      <c r="E18" s="896"/>
      <c r="F18" s="897"/>
      <c r="G18" s="175"/>
      <c r="H18" s="175">
        <v>1000</v>
      </c>
      <c r="I18" s="940"/>
      <c r="J18" s="867">
        <f t="shared" si="1"/>
        <v>1000</v>
      </c>
    </row>
    <row r="19" spans="1:10" ht="15">
      <c r="A19" s="171"/>
      <c r="B19" s="862" t="s">
        <v>507</v>
      </c>
      <c r="C19" s="895"/>
      <c r="D19" s="177"/>
      <c r="E19" s="896"/>
      <c r="F19" s="897"/>
      <c r="G19" s="175"/>
      <c r="H19" s="175">
        <v>200</v>
      </c>
      <c r="I19" s="940"/>
      <c r="J19" s="867">
        <f t="shared" si="1"/>
        <v>200</v>
      </c>
    </row>
    <row r="20" spans="1:10" ht="15.75">
      <c r="A20" s="171"/>
      <c r="B20" s="898"/>
      <c r="C20" s="895"/>
      <c r="D20" s="177"/>
      <c r="E20" s="896"/>
      <c r="F20" s="897"/>
      <c r="G20" s="175"/>
      <c r="H20" s="899"/>
      <c r="I20" s="941"/>
      <c r="J20" s="867">
        <f t="shared" si="1"/>
        <v>0</v>
      </c>
    </row>
    <row r="21" spans="1:10" ht="15.75">
      <c r="A21" s="171"/>
      <c r="B21" s="892" t="s">
        <v>459</v>
      </c>
      <c r="C21" s="895"/>
      <c r="D21" s="177"/>
      <c r="E21" s="893" t="s">
        <v>460</v>
      </c>
      <c r="F21" s="894"/>
      <c r="G21" s="175">
        <f>G17</f>
        <v>20000</v>
      </c>
      <c r="H21" s="175"/>
      <c r="I21" s="941"/>
      <c r="J21" s="867">
        <f t="shared" si="1"/>
        <v>20000</v>
      </c>
    </row>
    <row r="22" spans="1:10" ht="15.75">
      <c r="A22" s="905" t="s">
        <v>463</v>
      </c>
      <c r="B22" s="862" t="s">
        <v>464</v>
      </c>
      <c r="C22" s="895"/>
      <c r="D22" s="177"/>
      <c r="E22" s="896" t="s">
        <v>465</v>
      </c>
      <c r="F22" s="897"/>
      <c r="G22" s="854">
        <v>8000</v>
      </c>
      <c r="H22" s="175"/>
      <c r="I22" s="940">
        <f>I23+I24</f>
        <v>8000</v>
      </c>
      <c r="J22" s="867">
        <f t="shared" si="1"/>
        <v>0</v>
      </c>
    </row>
    <row r="23" spans="1:10" ht="15.75">
      <c r="A23" s="905"/>
      <c r="B23" s="862" t="s">
        <v>508</v>
      </c>
      <c r="C23" s="895"/>
      <c r="D23" s="177"/>
      <c r="E23" s="896"/>
      <c r="F23" s="897"/>
      <c r="G23" s="175"/>
      <c r="H23" s="175"/>
      <c r="I23" s="940">
        <v>8000</v>
      </c>
      <c r="J23" s="867">
        <f>SUM(G23:I23)</f>
        <v>8000</v>
      </c>
    </row>
    <row r="24" spans="1:10" ht="15.75">
      <c r="A24" s="171"/>
      <c r="B24" s="898"/>
      <c r="C24" s="895"/>
      <c r="D24" s="177"/>
      <c r="E24" s="896"/>
      <c r="F24" s="897"/>
      <c r="G24" s="854"/>
      <c r="H24" s="175"/>
      <c r="I24" s="941"/>
      <c r="J24" s="867">
        <f>SUM(G24:I24)</f>
        <v>0</v>
      </c>
    </row>
    <row r="25" spans="1:10" ht="15">
      <c r="A25" s="171"/>
      <c r="B25" s="862"/>
      <c r="C25" s="895"/>
      <c r="D25" s="177"/>
      <c r="E25" s="896"/>
      <c r="F25" s="897"/>
      <c r="G25" s="854"/>
      <c r="H25" s="175"/>
      <c r="I25" s="1"/>
      <c r="J25" s="867">
        <f>SUM(G25:I25)</f>
        <v>0</v>
      </c>
    </row>
    <row r="26" spans="1:10" ht="15.75">
      <c r="A26" s="171"/>
      <c r="B26" s="898"/>
      <c r="C26" s="895"/>
      <c r="D26" s="177"/>
      <c r="E26" s="896"/>
      <c r="F26" s="897"/>
      <c r="G26" s="854"/>
      <c r="H26" s="175"/>
      <c r="I26" s="171"/>
      <c r="J26" s="867">
        <f>SUM(G26:I26)</f>
        <v>0</v>
      </c>
    </row>
    <row r="27" spans="1:10" ht="15">
      <c r="A27" s="171"/>
      <c r="B27" s="874"/>
      <c r="C27" s="895"/>
      <c r="D27" s="177"/>
      <c r="E27" s="853"/>
      <c r="F27" s="854"/>
      <c r="G27" s="854"/>
      <c r="H27" s="175"/>
      <c r="I27" s="171"/>
      <c r="J27" s="867">
        <f>SUM(G27:I27)</f>
        <v>0</v>
      </c>
    </row>
    <row r="28" spans="1:10" ht="15.75">
      <c r="A28" s="905"/>
      <c r="B28" s="900" t="s">
        <v>466</v>
      </c>
      <c r="C28" s="901"/>
      <c r="D28" s="902"/>
      <c r="E28" s="903">
        <f>SUM(E9:E21)</f>
        <v>0</v>
      </c>
      <c r="F28" s="903">
        <f>SUM(F9:F21)</f>
        <v>0</v>
      </c>
      <c r="G28" s="903">
        <f>SUM(G17+G14+G9+G22)</f>
        <v>76360</v>
      </c>
      <c r="H28" s="904">
        <f>SUM(H18:H27)</f>
        <v>1200</v>
      </c>
      <c r="I28" s="901">
        <f>I22+I16+I17+I13</f>
        <v>8000</v>
      </c>
      <c r="J28" s="879">
        <f>SUM(G28+H28-I27)</f>
        <v>77560</v>
      </c>
    </row>
    <row r="29" spans="1:10">
      <c r="A29" s="1"/>
    </row>
    <row r="34" spans="1:9" ht="18">
      <c r="A34" s="3056" t="s">
        <v>510</v>
      </c>
      <c r="B34" s="3056"/>
      <c r="C34" s="3056"/>
      <c r="D34" s="3056"/>
      <c r="E34" s="3056"/>
      <c r="F34" s="3056"/>
      <c r="G34" s="3056"/>
      <c r="H34" s="3056"/>
      <c r="I34" s="5"/>
    </row>
    <row r="35" spans="1:9" ht="15">
      <c r="A35" s="177"/>
      <c r="B35" s="3057"/>
      <c r="C35" s="3057"/>
      <c r="D35" s="3057"/>
      <c r="E35" s="3057"/>
      <c r="F35" s="3057"/>
      <c r="G35" s="850"/>
      <c r="H35" s="177"/>
      <c r="I35" s="5"/>
    </row>
    <row r="36" spans="1:9" ht="15">
      <c r="A36" s="171"/>
      <c r="B36" s="851"/>
      <c r="C36" s="171"/>
      <c r="D36" s="852"/>
      <c r="E36" s="3058"/>
      <c r="F36" s="3059"/>
      <c r="G36" s="855" t="s">
        <v>443</v>
      </c>
      <c r="H36" s="856"/>
      <c r="I36" s="857"/>
    </row>
    <row r="37" spans="1:9" ht="15">
      <c r="A37" s="171"/>
      <c r="B37" s="171" t="s">
        <v>444</v>
      </c>
      <c r="C37" s="171"/>
      <c r="D37" s="852"/>
      <c r="E37" s="858" t="s">
        <v>445</v>
      </c>
      <c r="F37" s="858"/>
      <c r="G37" s="850"/>
      <c r="H37" s="859"/>
      <c r="I37" s="857"/>
    </row>
    <row r="38" spans="1:9" ht="15.75">
      <c r="A38" s="171" t="s">
        <v>9</v>
      </c>
      <c r="B38" s="3060" t="s">
        <v>447</v>
      </c>
      <c r="C38" s="3061"/>
      <c r="D38" s="860"/>
      <c r="E38" s="3048" t="s">
        <v>448</v>
      </c>
      <c r="F38" s="3049"/>
      <c r="G38" s="855" t="s">
        <v>449</v>
      </c>
      <c r="H38" s="861" t="s">
        <v>450</v>
      </c>
      <c r="I38" s="857" t="s">
        <v>451</v>
      </c>
    </row>
    <row r="39" spans="1:9" ht="15.75">
      <c r="A39" s="171"/>
      <c r="B39" s="862" t="s">
        <v>462</v>
      </c>
      <c r="C39" s="863"/>
      <c r="D39" s="864"/>
      <c r="E39" s="3048"/>
      <c r="F39" s="3049"/>
      <c r="G39" s="865">
        <v>41700</v>
      </c>
      <c r="H39" s="866"/>
      <c r="I39" s="942"/>
    </row>
    <row r="40" spans="1:9" ht="15.75">
      <c r="A40" s="171"/>
      <c r="B40" s="862" t="s">
        <v>452</v>
      </c>
      <c r="C40" s="868"/>
      <c r="D40" s="869"/>
      <c r="E40" s="3048" t="s">
        <v>453</v>
      </c>
      <c r="F40" s="3049"/>
      <c r="G40" s="865">
        <v>712.5</v>
      </c>
      <c r="H40" s="866"/>
      <c r="I40" s="942"/>
    </row>
    <row r="41" spans="1:9" ht="15.75">
      <c r="A41" s="905"/>
      <c r="B41" s="870" t="s">
        <v>454</v>
      </c>
      <c r="C41" s="871"/>
      <c r="D41" s="872"/>
      <c r="E41" s="3048"/>
      <c r="F41" s="3049"/>
      <c r="G41" s="865"/>
      <c r="H41" s="873"/>
      <c r="I41" s="942"/>
    </row>
    <row r="42" spans="1:9" ht="15.75">
      <c r="A42" s="905"/>
      <c r="B42" s="874"/>
      <c r="C42" s="871"/>
      <c r="D42" s="872"/>
      <c r="E42" s="3048"/>
      <c r="F42" s="3049"/>
      <c r="G42" s="865"/>
      <c r="H42" s="873"/>
      <c r="I42" s="943"/>
    </row>
    <row r="43" spans="1:9" ht="15.75">
      <c r="A43" s="171"/>
      <c r="B43" s="875" t="s">
        <v>455</v>
      </c>
      <c r="C43" s="876"/>
      <c r="D43" s="877"/>
      <c r="E43" s="3050"/>
      <c r="F43" s="3051"/>
      <c r="G43" s="978">
        <f>SUM(G39:G42)</f>
        <v>42412.5</v>
      </c>
      <c r="H43" s="978">
        <f>SUM(H39:H42)</f>
        <v>0</v>
      </c>
      <c r="I43" s="944">
        <f>SUM(I39:I42)</f>
        <v>0</v>
      </c>
    </row>
    <row r="44" spans="1:9" ht="15.75">
      <c r="A44" s="171" t="s">
        <v>16</v>
      </c>
      <c r="B44" s="862" t="s">
        <v>462</v>
      </c>
      <c r="C44" s="880"/>
      <c r="D44" s="881"/>
      <c r="E44" s="3052" t="s">
        <v>456</v>
      </c>
      <c r="F44" s="3053"/>
      <c r="G44" s="865">
        <v>6660</v>
      </c>
      <c r="H44" s="882"/>
      <c r="I44" s="942"/>
    </row>
    <row r="45" spans="1:9" ht="15.75">
      <c r="A45" s="171"/>
      <c r="B45" s="883" t="s">
        <v>457</v>
      </c>
      <c r="C45" s="880"/>
      <c r="D45" s="881"/>
      <c r="E45" s="979"/>
      <c r="F45" s="980"/>
      <c r="G45" s="865"/>
      <c r="H45" s="873"/>
      <c r="I45" s="942"/>
    </row>
    <row r="46" spans="1:9" ht="15.75">
      <c r="A46" s="171"/>
      <c r="B46" s="886" t="s">
        <v>458</v>
      </c>
      <c r="C46" s="887"/>
      <c r="D46" s="888"/>
      <c r="E46" s="3054"/>
      <c r="F46" s="3055"/>
      <c r="G46" s="981">
        <f>G44+G45</f>
        <v>6660</v>
      </c>
      <c r="H46" s="890"/>
      <c r="I46" s="945"/>
    </row>
    <row r="47" spans="1:9" ht="15">
      <c r="A47" s="171" t="s">
        <v>23</v>
      </c>
      <c r="B47" s="862" t="s">
        <v>462</v>
      </c>
      <c r="C47" s="895"/>
      <c r="D47" s="177"/>
      <c r="E47" s="896" t="s">
        <v>460</v>
      </c>
      <c r="F47" s="897"/>
      <c r="G47" s="175">
        <v>20000</v>
      </c>
      <c r="H47" s="175">
        <f>H48+H49+H50</f>
        <v>1200</v>
      </c>
      <c r="I47" s="940"/>
    </row>
    <row r="48" spans="1:9" ht="15">
      <c r="A48" s="171"/>
      <c r="B48" s="862" t="s">
        <v>506</v>
      </c>
      <c r="C48" s="895"/>
      <c r="D48" s="177"/>
      <c r="E48" s="896"/>
      <c r="F48" s="897"/>
      <c r="G48" s="175"/>
      <c r="H48" s="175">
        <v>1000</v>
      </c>
      <c r="I48" s="940"/>
    </row>
    <row r="49" spans="1:9" ht="15">
      <c r="A49" s="171"/>
      <c r="B49" s="862" t="s">
        <v>507</v>
      </c>
      <c r="C49" s="895"/>
      <c r="D49" s="177"/>
      <c r="E49" s="896"/>
      <c r="F49" s="897"/>
      <c r="G49" s="175"/>
      <c r="H49" s="175">
        <v>200</v>
      </c>
      <c r="I49" s="940"/>
    </row>
    <row r="50" spans="1:9" ht="15.75">
      <c r="A50" s="171"/>
      <c r="B50" s="898"/>
      <c r="C50" s="895"/>
      <c r="D50" s="177"/>
      <c r="E50" s="896"/>
      <c r="F50" s="897"/>
      <c r="G50" s="175"/>
      <c r="H50" s="899"/>
      <c r="I50" s="941"/>
    </row>
    <row r="51" spans="1:9" ht="15.75">
      <c r="A51" s="171"/>
      <c r="B51" s="892" t="s">
        <v>459</v>
      </c>
      <c r="C51" s="895"/>
      <c r="D51" s="177"/>
      <c r="E51" s="893" t="s">
        <v>460</v>
      </c>
      <c r="F51" s="894"/>
      <c r="G51" s="175">
        <f>G47</f>
        <v>20000</v>
      </c>
      <c r="H51" s="175"/>
      <c r="I51" s="941"/>
    </row>
    <row r="52" spans="1:9" ht="15.75">
      <c r="A52" s="905" t="s">
        <v>463</v>
      </c>
      <c r="B52" s="862" t="s">
        <v>464</v>
      </c>
      <c r="C52" s="895"/>
      <c r="D52" s="177"/>
      <c r="E52" s="896" t="s">
        <v>465</v>
      </c>
      <c r="F52" s="897"/>
      <c r="G52" s="854">
        <v>8000</v>
      </c>
      <c r="H52" s="175"/>
      <c r="I52" s="940">
        <f>I53+I54</f>
        <v>8000</v>
      </c>
    </row>
    <row r="53" spans="1:9" ht="15.75">
      <c r="A53" s="905"/>
      <c r="B53" s="862" t="s">
        <v>508</v>
      </c>
      <c r="C53" s="895"/>
      <c r="D53" s="177"/>
      <c r="E53" s="896"/>
      <c r="F53" s="897"/>
      <c r="G53" s="175"/>
      <c r="H53" s="175"/>
      <c r="I53" s="940">
        <v>8000</v>
      </c>
    </row>
    <row r="54" spans="1:9" ht="15.75">
      <c r="A54" s="171"/>
      <c r="B54" s="898"/>
      <c r="C54" s="895"/>
      <c r="D54" s="177"/>
      <c r="E54" s="896"/>
      <c r="F54" s="897"/>
      <c r="G54" s="854"/>
      <c r="H54" s="175"/>
      <c r="I54" s="941"/>
    </row>
    <row r="55" spans="1:9" ht="15">
      <c r="A55" s="171"/>
      <c r="B55" s="862"/>
      <c r="C55" s="895"/>
      <c r="D55" s="177"/>
      <c r="E55" s="896"/>
      <c r="F55" s="897"/>
      <c r="G55" s="854"/>
      <c r="H55" s="175"/>
      <c r="I55" s="1"/>
    </row>
    <row r="56" spans="1:9" ht="15.75">
      <c r="A56" s="171"/>
      <c r="B56" s="898"/>
      <c r="C56" s="895"/>
      <c r="D56" s="177"/>
      <c r="E56" s="896"/>
      <c r="F56" s="897"/>
      <c r="G56" s="854"/>
      <c r="H56" s="175"/>
      <c r="I56" s="171"/>
    </row>
    <row r="57" spans="1:9" ht="15">
      <c r="A57" s="171"/>
      <c r="B57" s="874"/>
      <c r="C57" s="895"/>
      <c r="D57" s="177"/>
      <c r="E57" s="853"/>
      <c r="F57" s="854"/>
      <c r="G57" s="854"/>
      <c r="H57" s="175"/>
      <c r="I57" s="171"/>
    </row>
    <row r="58" spans="1:9" ht="15.75">
      <c r="A58" s="905"/>
      <c r="B58" s="900" t="s">
        <v>466</v>
      </c>
      <c r="C58" s="901"/>
      <c r="D58" s="902"/>
      <c r="E58" s="903">
        <f>SUM(E39:E51)</f>
        <v>0</v>
      </c>
      <c r="F58" s="903">
        <f>SUM(F39:F51)</f>
        <v>0</v>
      </c>
      <c r="G58" s="903">
        <f>SUM(G47+G44+G39+G52)</f>
        <v>76360</v>
      </c>
      <c r="H58" s="904">
        <f>SUM(H48:H57)</f>
        <v>1200</v>
      </c>
      <c r="I58" s="901">
        <f>I52+I46+I47+I43</f>
        <v>8000</v>
      </c>
    </row>
  </sheetData>
  <mergeCells count="24">
    <mergeCell ref="E14:F14"/>
    <mergeCell ref="E16:F16"/>
    <mergeCell ref="E9:F9"/>
    <mergeCell ref="E10:F10"/>
    <mergeCell ref="E11:F11"/>
    <mergeCell ref="E12:F12"/>
    <mergeCell ref="E13:F13"/>
    <mergeCell ref="A4:H4"/>
    <mergeCell ref="B5:F5"/>
    <mergeCell ref="E6:F6"/>
    <mergeCell ref="B8:C8"/>
    <mergeCell ref="E8:F8"/>
    <mergeCell ref="E46:F46"/>
    <mergeCell ref="A34:H34"/>
    <mergeCell ref="B35:F35"/>
    <mergeCell ref="E36:F36"/>
    <mergeCell ref="B38:C38"/>
    <mergeCell ref="E38:F38"/>
    <mergeCell ref="E39:F39"/>
    <mergeCell ref="E40:F40"/>
    <mergeCell ref="E41:F41"/>
    <mergeCell ref="E42:F42"/>
    <mergeCell ref="E43:F43"/>
    <mergeCell ref="E44:F4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situac.07</vt:lpstr>
      <vt:lpstr>Plani07</vt:lpstr>
      <vt:lpstr>PLAN BUXHETI 2014</vt:lpstr>
      <vt:lpstr>PLAN BUXHETI 2015</vt:lpstr>
      <vt:lpstr>PLAN BUXHETI 2018</vt:lpstr>
      <vt:lpstr>PLAN BUXHET 2019</vt:lpstr>
      <vt:lpstr>PLAN BUXHETI 2020</vt:lpstr>
      <vt:lpstr>PLAN BUXHET 2021</vt:lpstr>
      <vt:lpstr>PLAN BUXHET 2022</vt:lpstr>
      <vt:lpstr>PLAN BUXHET 2023</vt:lpstr>
      <vt:lpstr>Plan- Buxh 2013</vt:lpstr>
      <vt:lpstr>SITUACIONI   BUXHETOR  2013 (2)</vt:lpstr>
      <vt:lpstr>SITUACIONI   BUXHETOR  2013</vt:lpstr>
      <vt:lpstr>Situac 2012</vt:lpstr>
      <vt:lpstr>pakesimi &amp; shtes Buxh 13</vt:lpstr>
      <vt:lpstr>'Plan- Buxh 2013'!Print_Area</vt:lpstr>
      <vt:lpstr>'PLAN BUXHETI 2014'!Print_Area</vt:lpstr>
      <vt:lpstr>'SITUACIONI   BUXHETOR  2013'!Print_Area</vt:lpstr>
      <vt:lpstr>'SITUACIONI   BUXHETOR  2013 (2)'!Print_Area</vt:lpstr>
    </vt:vector>
  </TitlesOfParts>
  <Company>APNSHS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Financa</dc:creator>
  <cp:lastModifiedBy>USER</cp:lastModifiedBy>
  <cp:lastPrinted>2015-05-13T11:34:35Z</cp:lastPrinted>
  <dcterms:created xsi:type="dcterms:W3CDTF">2000-10-11T21:41:07Z</dcterms:created>
  <dcterms:modified xsi:type="dcterms:W3CDTF">2024-09-04T07:34:30Z</dcterms:modified>
</cp:coreProperties>
</file>